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raunhofer-my.sharepoint.com/personal/patrick_zimmerman_cml_fraunhofer_de/Documents/1 Arbeitsordner/H2-Logistik/Arbeitsbereich/3 Pipeline-Tool/Sharma/"/>
    </mc:Choice>
  </mc:AlternateContent>
  <xr:revisionPtr revIDLastSave="260" documentId="8_{9D1CBE41-BCAF-45B2-A017-B3C82EA5BF53}" xr6:coauthVersionLast="47" xr6:coauthVersionMax="47" xr10:uidLastSave="{023BA255-067B-487E-9E8D-943591B8E23D}"/>
  <bookViews>
    <workbookView xWindow="-120" yWindow="-120" windowWidth="29040" windowHeight="15720" xr2:uid="{95D32C71-9028-4254-B902-6ED61DF263F8}"/>
  </bookViews>
  <sheets>
    <sheet name="Übersicht" sheetId="4" r:id="rId1"/>
    <sheet name="Pipeline Auslegung" sheetId="1" r:id="rId2"/>
    <sheet name="Rohrdatenbank" sheetId="5" r:id="rId3"/>
    <sheet name="Pipelineoptimierung" sheetId="6" r:id="rId4"/>
    <sheet name="Capex" sheetId="2" r:id="rId5"/>
    <sheet name="Opex" sheetId="3" r:id="rId6"/>
  </sheets>
  <definedNames>
    <definedName name="_xlnm._FilterDatabase" localSheetId="2" hidden="1">Rohrdatenbank!$B$35:$Q$40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5" i="5" l="1" a="1"/>
  <c r="I45" i="5" s="1"/>
  <c r="B45" i="6"/>
  <c r="B36" i="1" l="1"/>
  <c r="B36" i="6"/>
  <c r="B39" i="6"/>
  <c r="B32" i="1"/>
  <c r="A43" i="6" l="1"/>
  <c r="B40" i="6"/>
  <c r="B43" i="6"/>
  <c r="H25" i="4" l="1"/>
  <c r="I20" i="4"/>
  <c r="B41" i="6"/>
  <c r="I16" i="4" s="1"/>
  <c r="I25" i="4" l="1"/>
  <c r="H45" i="5"/>
  <c r="U45" i="5" s="1"/>
  <c r="V45" i="5" s="1" a="1"/>
  <c r="V45" i="5" s="1"/>
  <c r="W45" i="5" s="1" a="1"/>
  <c r="W45" i="5" s="1"/>
  <c r="H3" i="6"/>
  <c r="B37" i="6" s="1"/>
  <c r="H3" i="1"/>
  <c r="H21" i="4"/>
  <c r="H19" i="4"/>
  <c r="H18" i="4"/>
  <c r="B58" i="6"/>
  <c r="B32" i="6"/>
  <c r="H22" i="6"/>
  <c r="M9" i="6"/>
  <c r="B9" i="6"/>
  <c r="B12" i="6" s="1"/>
  <c r="B13" i="6" s="1"/>
  <c r="M3" i="6"/>
  <c r="M5" i="6" s="1"/>
  <c r="B61" i="1"/>
  <c r="B9" i="1"/>
  <c r="F4" i="5"/>
  <c r="F5" i="5"/>
  <c r="F6" i="5"/>
  <c r="F7" i="5"/>
  <c r="F8" i="5"/>
  <c r="F9" i="5"/>
  <c r="F3" i="5"/>
  <c r="T13" i="2"/>
  <c r="L13" i="2"/>
  <c r="G3" i="3"/>
  <c r="D3" i="3"/>
  <c r="L6" i="2"/>
  <c r="L5" i="2"/>
  <c r="L4" i="2"/>
  <c r="H22" i="1"/>
  <c r="M9" i="1"/>
  <c r="M3" i="1"/>
  <c r="M5" i="1" s="1"/>
  <c r="B2" i="3" l="1"/>
  <c r="G2" i="3" s="1"/>
  <c r="J2" i="3" s="1"/>
  <c r="B12" i="1"/>
  <c r="B13" i="1" s="1"/>
  <c r="X45" i="5"/>
  <c r="Y45" i="5" s="1" a="1"/>
  <c r="Y45" i="5" s="1"/>
  <c r="H20" i="1"/>
  <c r="H21" i="1" s="1"/>
  <c r="H20" i="6"/>
  <c r="H21" i="6" s="1"/>
  <c r="B25" i="6" s="1"/>
  <c r="B43" i="1"/>
  <c r="B21" i="4" s="1"/>
  <c r="M6" i="6"/>
  <c r="B57" i="6" s="1"/>
  <c r="M6" i="1"/>
  <c r="J3" i="3"/>
  <c r="B35" i="1" l="1"/>
  <c r="B60" i="1"/>
  <c r="B27" i="6"/>
  <c r="B28" i="6" s="1"/>
  <c r="M11" i="6"/>
  <c r="F12" i="6"/>
  <c r="F13" i="6" s="1"/>
  <c r="F14" i="6" s="1"/>
  <c r="F12" i="1"/>
  <c r="F13" i="1" s="1"/>
  <c r="F14" i="1" s="1"/>
  <c r="B28" i="1"/>
  <c r="B25" i="1"/>
  <c r="M11" i="1"/>
  <c r="B39" i="1" l="1"/>
  <c r="B19" i="4" s="1"/>
  <c r="C42" i="1"/>
  <c r="B22" i="6"/>
  <c r="B34" i="6"/>
  <c r="D34" i="6" s="1"/>
  <c r="B35" i="6"/>
  <c r="B34" i="1"/>
  <c r="D34" i="1" s="1"/>
  <c r="B22" i="1"/>
  <c r="B42" i="1" l="1"/>
  <c r="B44" i="1"/>
  <c r="A44" i="1"/>
  <c r="B18" i="4"/>
  <c r="B37" i="1" l="1"/>
  <c r="B20" i="4" s="1"/>
  <c r="I17" i="4"/>
  <c r="J45" i="5" s="1"/>
  <c r="K45" i="5" s="1" a="1"/>
  <c r="K45" i="5" s="1"/>
  <c r="B42" i="6" s="1"/>
  <c r="B44" i="6" s="1"/>
  <c r="B59" i="6" s="1"/>
  <c r="I18" i="4" l="1"/>
  <c r="H31" i="4" s="1"/>
  <c r="I19" i="4" l="1"/>
  <c r="B46" i="6"/>
  <c r="B48" i="6" l="1"/>
  <c r="B50" i="6"/>
  <c r="B47" i="6"/>
  <c r="B51" i="6" l="1"/>
  <c r="B52" i="6" s="1"/>
  <c r="I21" i="4"/>
  <c r="B49" i="6"/>
  <c r="I22" i="4" s="1"/>
  <c r="H29" i="4" s="1"/>
  <c r="B60" i="6"/>
  <c r="I24" i="4" s="1"/>
  <c r="I23" i="4"/>
  <c r="A29" i="4"/>
  <c r="A23" i="4"/>
  <c r="C45" i="5" a="1"/>
  <c r="Q45" i="5" s="1"/>
  <c r="B45" i="5"/>
  <c r="N45" i="5" s="1"/>
  <c r="O45" i="5" s="1" a="1"/>
  <c r="O45" i="5" s="1"/>
  <c r="P45" i="5" s="1" a="1"/>
  <c r="P45" i="5" s="1"/>
  <c r="H30" i="4" l="1"/>
  <c r="R45" i="5" a="1"/>
  <c r="R45" i="5" s="1"/>
  <c r="C45" i="5"/>
  <c r="D45" i="5"/>
  <c r="E45" i="5" s="1" a="1"/>
  <c r="E45" i="5" s="1"/>
  <c r="B45" i="1" s="1"/>
  <c r="B47" i="1" l="1"/>
  <c r="B40" i="1" s="1"/>
  <c r="B23" i="4"/>
  <c r="D45" i="1" l="1"/>
  <c r="B46" i="1" s="1"/>
  <c r="B41" i="1"/>
  <c r="B22" i="4" s="1"/>
  <c r="A35" i="4" s="1"/>
  <c r="B48" i="1"/>
  <c r="B62" i="1" s="1"/>
  <c r="A25" i="4" l="1"/>
  <c r="B56" i="1"/>
  <c r="B24" i="4" s="1"/>
  <c r="B29" i="4" s="1"/>
  <c r="B49" i="1"/>
  <c r="B50" i="1" s="1"/>
  <c r="B51" i="1" l="1"/>
  <c r="B53" i="1"/>
  <c r="B63" i="1"/>
  <c r="B28" i="4" s="1"/>
  <c r="B27" i="4"/>
  <c r="A34" i="4" s="1"/>
  <c r="B54" i="1" l="1"/>
  <c r="D58" i="1" s="1"/>
  <c r="B52" i="1"/>
  <c r="B26" i="4" s="1"/>
  <c r="B25" i="4"/>
  <c r="B55" i="1" l="1"/>
  <c r="A3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tc={B77ABC3F-079E-491A-A7DE-502ED7475705}</author>
  </authors>
  <commentList>
    <comment ref="B45" authorId="0" shapeId="0" xr:uid="{B77ABC3F-079E-491A-A7DE-502ED7475705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Übersichtlicher gestalten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<sst xmlns="http://schemas.openxmlformats.org/spreadsheetml/2006/main" count="504" uniqueCount="245">
  <si>
    <t xml:space="preserve">Bedarf H2 von einem Stahlwerk </t>
  </si>
  <si>
    <t>t/a</t>
  </si>
  <si>
    <t>Wert</t>
  </si>
  <si>
    <t>Massenstrom je Stunde</t>
  </si>
  <si>
    <t>t/h</t>
  </si>
  <si>
    <t>Massenstrom je Sek.</t>
  </si>
  <si>
    <t>kg/s</t>
  </si>
  <si>
    <t>Berechnung Massenströme</t>
  </si>
  <si>
    <t>Berechnung Volumenstrom</t>
  </si>
  <si>
    <t xml:space="preserve">(Annahmen: 24/7 Betrieb im Stahlwerk und entsprechende Produktion) </t>
  </si>
  <si>
    <t>kg/kmol</t>
  </si>
  <si>
    <t>Naturgaskonstante</t>
  </si>
  <si>
    <t>Gaskonstante H2</t>
  </si>
  <si>
    <t>kJ/kgK</t>
  </si>
  <si>
    <t>Betriebsdruck Pipeline</t>
  </si>
  <si>
    <t>bar</t>
  </si>
  <si>
    <t>Temperatur Pipeline</t>
  </si>
  <si>
    <t>kelvin</t>
  </si>
  <si>
    <t>kg/m³</t>
  </si>
  <si>
    <t>m³/h</t>
  </si>
  <si>
    <t>m³/sek</t>
  </si>
  <si>
    <t>Anhaltswerte:</t>
  </si>
  <si>
    <t>Volumenstrom &gt;</t>
  </si>
  <si>
    <t>Volumenstrom &lt;</t>
  </si>
  <si>
    <t>m³/s</t>
  </si>
  <si>
    <t>Zentrifugalverdichter</t>
  </si>
  <si>
    <t>Kolbenverdichter</t>
  </si>
  <si>
    <t>Zu verwendender Verdichter</t>
  </si>
  <si>
    <t xml:space="preserve">Max. Geschwindigkeit H2 in Pipline </t>
  </si>
  <si>
    <t>m/s</t>
  </si>
  <si>
    <t>Auswahl Verdichter</t>
  </si>
  <si>
    <t>Auslegung Pipeline Durchmesser</t>
  </si>
  <si>
    <t>Fomrel Innendurchmesser Pipeline</t>
  </si>
  <si>
    <t>Wurzel((Volumenstrom*4)/(max.Fließgeschwindigkeit*Pi))</t>
  </si>
  <si>
    <t xml:space="preserve">m </t>
  </si>
  <si>
    <t>di&gt;</t>
  </si>
  <si>
    <t>Durchflussquerschnittsfläche &gt;</t>
  </si>
  <si>
    <t>m²</t>
  </si>
  <si>
    <t>cm²</t>
  </si>
  <si>
    <t>m</t>
  </si>
  <si>
    <t xml:space="preserve">Wanddicke </t>
  </si>
  <si>
    <t>mm</t>
  </si>
  <si>
    <t>Innendurchmesser Rohr</t>
  </si>
  <si>
    <t>Auswahl Rohr</t>
  </si>
  <si>
    <t>Fließgeschwindigkeit im ausgewählten Rohr</t>
  </si>
  <si>
    <t>Durchflussquerschnittsfläche Rohr</t>
  </si>
  <si>
    <t>Berechnung Druckverluste</t>
  </si>
  <si>
    <t>Rohrreibung</t>
  </si>
  <si>
    <t>Druckverlust</t>
  </si>
  <si>
    <t xml:space="preserve">Länge </t>
  </si>
  <si>
    <t>Kg/m³</t>
  </si>
  <si>
    <t>Bar</t>
  </si>
  <si>
    <t>dyn.Viskosität (300K und 100 bar)</t>
  </si>
  <si>
    <t>Pa*s</t>
  </si>
  <si>
    <t>Quelle:</t>
  </si>
  <si>
    <t>https://www.unternehmensberatung-babel.de/industriegase-lexikon/viskositaet/dynamische-viskositaet-wasserstoff.html</t>
  </si>
  <si>
    <t>kinematische Viskosität</t>
  </si>
  <si>
    <t>m²/s</t>
  </si>
  <si>
    <t>Hydraulischer Durchmesser</t>
  </si>
  <si>
    <t>Reynoldszahl</t>
  </si>
  <si>
    <t>-</t>
  </si>
  <si>
    <t>Art der Strämung</t>
  </si>
  <si>
    <t>isentropen koeffizient</t>
  </si>
  <si>
    <t>Cp Wasserstoff</t>
  </si>
  <si>
    <t>Cv Wasserstoff</t>
  </si>
  <si>
    <t xml:space="preserve">Quelle: </t>
  </si>
  <si>
    <t>J/KgK</t>
  </si>
  <si>
    <t>https://www.schweizer-fn.de/stoff/wkapazitaet/wkapazitaet_gase.php</t>
  </si>
  <si>
    <t>P1</t>
  </si>
  <si>
    <t>P2</t>
  </si>
  <si>
    <t>T1</t>
  </si>
  <si>
    <t>Kelvin</t>
  </si>
  <si>
    <t>T2</t>
  </si>
  <si>
    <t>Leistung Verdichter</t>
  </si>
  <si>
    <t>kW</t>
  </si>
  <si>
    <t>Volumenänderungsarbeit</t>
  </si>
  <si>
    <t>J/kg</t>
  </si>
  <si>
    <t>Energiekosten</t>
  </si>
  <si>
    <t>Wartungskosten</t>
  </si>
  <si>
    <t>Neubau Pipeline</t>
  </si>
  <si>
    <t>Pipeline Umbau von Erdgas auf Wasserstoff</t>
  </si>
  <si>
    <t>Pipeline</t>
  </si>
  <si>
    <t>Positionen</t>
  </si>
  <si>
    <t>Installation</t>
  </si>
  <si>
    <t>Verbrauch</t>
  </si>
  <si>
    <t>Kosten je Einheit</t>
  </si>
  <si>
    <t>Kosten je Jahr</t>
  </si>
  <si>
    <t>Stoffdaten H2</t>
  </si>
  <si>
    <t>Molmassse H2</t>
  </si>
  <si>
    <t>kJ/kmolK</t>
  </si>
  <si>
    <t>Dichte H2 bei Betriebsdruck und Temperatur der Pipeline</t>
  </si>
  <si>
    <t>Betriebsdaten Pipeline</t>
  </si>
  <si>
    <t>Bezeichnung</t>
  </si>
  <si>
    <t xml:space="preserve">Einheit </t>
  </si>
  <si>
    <t xml:space="preserve">Volumenstrom </t>
  </si>
  <si>
    <t>m³/min</t>
  </si>
  <si>
    <t>km</t>
  </si>
  <si>
    <t>€/MWh</t>
  </si>
  <si>
    <t>MWh/a</t>
  </si>
  <si>
    <t>Dichte H2</t>
  </si>
  <si>
    <t>Legende:</t>
  </si>
  <si>
    <t>Farbmarkierungen</t>
  </si>
  <si>
    <t>Bedeutung</t>
  </si>
  <si>
    <t>Berechneter Wert</t>
  </si>
  <si>
    <t>Geschätzer Wert</t>
  </si>
  <si>
    <t>Roter Text</t>
  </si>
  <si>
    <t>Quelle</t>
  </si>
  <si>
    <t>https://de.statista.com/statistik/daten/studie/289437/umfrage/strompreis-am-epex-spotmarkt/</t>
  </si>
  <si>
    <t>Berechneter Wert ist ok</t>
  </si>
  <si>
    <t>Berechneter Wert außerhalb Grenzbereichs</t>
  </si>
  <si>
    <t>Ideales Gasgestz mit  Roh statt m Druck=Dichte*Gas Konstante*Temperatur</t>
  </si>
  <si>
    <t>https://gwf-gas.de/wp-content/uploads/2021/05/GE_05_2021_fb_Mischner.pdf</t>
  </si>
  <si>
    <t>Verfahrenswerte Verdichterprozess</t>
  </si>
  <si>
    <t>Kommentar:</t>
  </si>
  <si>
    <t>Abhängig von Elektrolyse</t>
  </si>
  <si>
    <t>Quelle: Witkowski - Analysis CH2 pipeline transport thermo and safety – 2017</t>
  </si>
  <si>
    <t xml:space="preserve">Massen- und Volumenströme </t>
  </si>
  <si>
    <t xml:space="preserve">Druckverlust </t>
  </si>
  <si>
    <t>Pa/m</t>
  </si>
  <si>
    <t>Druckverlust Grenzwert (Daumenwert)</t>
  </si>
  <si>
    <t>Kosten Umbau Pipeline besthende Projekte</t>
  </si>
  <si>
    <t>Länge Pipeline in km</t>
  </si>
  <si>
    <t>Kosten je m</t>
  </si>
  <si>
    <t>Pipeline Bezeichnung</t>
  </si>
  <si>
    <t>Pipeline Energie Bad Lauchstädt</t>
  </si>
  <si>
    <t>Kosten in Mio. €</t>
  </si>
  <si>
    <t>Pipeline Lingen-Bad Bentheim</t>
  </si>
  <si>
    <t xml:space="preserve">Durchmesser Pipeline </t>
  </si>
  <si>
    <t>Druck Pipeline</t>
  </si>
  <si>
    <t>Pipeline Emsbürren-Bad Bentheim</t>
  </si>
  <si>
    <t>€/km</t>
  </si>
  <si>
    <t xml:space="preserve">Guidehouse Backbone Europe </t>
  </si>
  <si>
    <t xml:space="preserve">Leveliszed costs </t>
  </si>
  <si>
    <t>€/kg</t>
  </si>
  <si>
    <t>€/kg/km</t>
  </si>
  <si>
    <t>Gesamte Leistungen bis 2025</t>
  </si>
  <si>
    <t>Neubau von Pipelines</t>
  </si>
  <si>
    <t>Projekt</t>
  </si>
  <si>
    <t xml:space="preserve">Datum </t>
  </si>
  <si>
    <t xml:space="preserve">Bearbeiter </t>
  </si>
  <si>
    <t>Berechnung Pipeline</t>
  </si>
  <si>
    <t>Ein- und Ausgangswerte</t>
  </si>
  <si>
    <t>Betriebsdruck</t>
  </si>
  <si>
    <t xml:space="preserve">Kapazität </t>
  </si>
  <si>
    <t>Länge zwischen zwei Verdichterstationen</t>
  </si>
  <si>
    <t xml:space="preserve">km </t>
  </si>
  <si>
    <t>Materialbezeichnung</t>
  </si>
  <si>
    <t>L245NB/L245MB</t>
  </si>
  <si>
    <t>1.0457/1.0418</t>
  </si>
  <si>
    <t>L290NB/L290MB</t>
  </si>
  <si>
    <t>1.0484/1.0429</t>
  </si>
  <si>
    <t>L360NB/L360MB</t>
  </si>
  <si>
    <t>1.0582/1.0578</t>
  </si>
  <si>
    <t>L415NB/L415MB</t>
  </si>
  <si>
    <t>L450MB</t>
  </si>
  <si>
    <t>L485MB</t>
  </si>
  <si>
    <t>L555MB</t>
  </si>
  <si>
    <t>Werkstoffnummer</t>
  </si>
  <si>
    <t>Streckgrenze in N/mm²</t>
  </si>
  <si>
    <t xml:space="preserve">Ergebnis </t>
  </si>
  <si>
    <t>Mindest Innendurchmesser</t>
  </si>
  <si>
    <t>Empfehlung nächstgrößeres Rohr</t>
  </si>
  <si>
    <t>Auswahl des Rohres</t>
  </si>
  <si>
    <t xml:space="preserve">Längensprezifischer Druckverlust </t>
  </si>
  <si>
    <t xml:space="preserve">Ergebnisinterpretation </t>
  </si>
  <si>
    <t xml:space="preserve">Sicherheitsfaktoren </t>
  </si>
  <si>
    <t>Nutzungsgrad in %</t>
  </si>
  <si>
    <t xml:space="preserve">Rohrgrößen </t>
  </si>
  <si>
    <t>DN-100</t>
  </si>
  <si>
    <t>DN-150</t>
  </si>
  <si>
    <t>DN-200</t>
  </si>
  <si>
    <t>DN-250</t>
  </si>
  <si>
    <t>DN-300</t>
  </si>
  <si>
    <t>DN-350</t>
  </si>
  <si>
    <t>DN-400</t>
  </si>
  <si>
    <t>DN-450</t>
  </si>
  <si>
    <t>DN-500</t>
  </si>
  <si>
    <t>DN-600</t>
  </si>
  <si>
    <t>DN-700</t>
  </si>
  <si>
    <t>DN-800</t>
  </si>
  <si>
    <t>DN-900</t>
  </si>
  <si>
    <t>DN-1000</t>
  </si>
  <si>
    <t>DN-1100</t>
  </si>
  <si>
    <t>DN-1200</t>
  </si>
  <si>
    <t>Mindestwanddicke</t>
  </si>
  <si>
    <t>Material Pipeline</t>
  </si>
  <si>
    <t>%</t>
  </si>
  <si>
    <t>Sicherheitsfaktor Bedarfsschwabnkungen</t>
  </si>
  <si>
    <t xml:space="preserve">Kapazität Rohr </t>
  </si>
  <si>
    <t xml:space="preserve">Sicherheitsfaktor Versorgung </t>
  </si>
  <si>
    <t>Sicherheitsfaktor Versorgung</t>
  </si>
  <si>
    <t>Dehngrenze des ausgewählten Materials</t>
  </si>
  <si>
    <t>N/mm²</t>
  </si>
  <si>
    <t>€/m</t>
  </si>
  <si>
    <t>Bedarfsunsicherheit</t>
  </si>
  <si>
    <t>Pipelineoptimierung</t>
  </si>
  <si>
    <t>Dehngrenze</t>
  </si>
  <si>
    <t>Längenspezifischer Druckverlust</t>
  </si>
  <si>
    <t>Außendurchmesser nach ISO in mm</t>
  </si>
  <si>
    <t>Rohrbezeichnung</t>
  </si>
  <si>
    <t>Auslegung von H2-Pipelines</t>
  </si>
  <si>
    <t>Berechnung des Pipeline-Durchmessers</t>
  </si>
  <si>
    <t xml:space="preserve">H2-Logistik </t>
  </si>
  <si>
    <t>© 2022 Fraunhofer CML</t>
  </si>
  <si>
    <t>Für Pipeline Optimierung</t>
  </si>
  <si>
    <t>Pipelinedurchmesser Optimierung</t>
  </si>
  <si>
    <t>Rohrmaterialdatendank und Sicherheitsfaktoren</t>
  </si>
  <si>
    <t>Rohrgrößen und die Außendurchmesser</t>
  </si>
  <si>
    <t>Wanddicken der Pipelinedurchmesser</t>
  </si>
  <si>
    <t xml:space="preserve">Größe\Druckstufe </t>
  </si>
  <si>
    <t>DN-550</t>
  </si>
  <si>
    <t>Ermittlung Wanddicke der Pipeline</t>
  </si>
  <si>
    <t>Spezifische Herstellungskosten in €/m für ausgewählte Pipelines</t>
  </si>
  <si>
    <t>Spezifische Herstellungskosten</t>
  </si>
  <si>
    <t>Spezifische Herstellkosten</t>
  </si>
  <si>
    <t>f</t>
  </si>
  <si>
    <t>Faktor Verlegungskosten zu Herstellkosten</t>
  </si>
  <si>
    <t>Rechnerische Mindestdicke Rohr (smin) nach DIN 1594</t>
  </si>
  <si>
    <t>Rechnerische Wandstärke Rohr (smin) nach DIN 1594</t>
  </si>
  <si>
    <t xml:space="preserve">Herstellkosten Pipelinerohre </t>
  </si>
  <si>
    <t>Herstellkosten Pipelinerohre</t>
  </si>
  <si>
    <t>Streckgrenze Pipelinematerial</t>
  </si>
  <si>
    <t>Pipeline Auswahl</t>
  </si>
  <si>
    <t xml:space="preserve">Min. </t>
  </si>
  <si>
    <t xml:space="preserve">Max. </t>
  </si>
  <si>
    <t>Stahlsorte der Pipeline</t>
  </si>
  <si>
    <t>Außendurchmesser ausgewähltes Rohr</t>
  </si>
  <si>
    <t xml:space="preserve"> </t>
  </si>
  <si>
    <t>Für Pipeline Auslegung</t>
  </si>
  <si>
    <t>Pipeline Auswahl (nach Auslegung)</t>
  </si>
  <si>
    <t>Pipeline Auswahl für Rohrauswahl</t>
  </si>
  <si>
    <t>Wanddicke für ausgelegtes Rohr</t>
  </si>
  <si>
    <t>Für Pipeline Auslegung, wenn  Innendurchmesser abzgl. Mindestwanddicke kleiner wird als der Mindestinnendurchmesser</t>
  </si>
  <si>
    <t>Für Pipeline Optimierung, wenn  Innendurchmesser abzgl. Mindestwanddicke kleiner wird als der Mindestinnendurchmesser</t>
  </si>
  <si>
    <t>Innendurchmesser ausgelegtes Rohr</t>
  </si>
  <si>
    <t>Innendurchmesser ausgewähltes Rohr (evt. Eine Größe größer als das bereits nächstgröße Rohr)</t>
  </si>
  <si>
    <t>Nummer der Spalte in Matrix mit Wanddicken</t>
  </si>
  <si>
    <t>Die Wanddicken des untersuchten Rohres</t>
  </si>
  <si>
    <t>Die Zeile der gesuchten Wanddicke, vom gesuchten Rohr</t>
  </si>
  <si>
    <t>Wanddicke in mm</t>
  </si>
  <si>
    <t>Zu untersuchendes Rohr</t>
  </si>
  <si>
    <t xml:space="preserve">Pipeline Auswahl, eine Rohrgröße größer als die Auslegung 
Wenn leer,dann wird der Wert aus Zelle B39 verwendet. </t>
  </si>
  <si>
    <t>Wanddicke ausgewähltes Rohr, wenn Außendurchmesser abzgl. Der Wanddicke kleiner ist als der Innendurchmesser</t>
  </si>
  <si>
    <t xml:space="preserve">s in mm </t>
  </si>
  <si>
    <t>Pipelineauswahl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</si>
</sst>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"/>
    <numFmt numFmtId="165" formatCode="0.0000"/>
    <numFmt numFmtId="166" formatCode="0.000"/>
    <numFmt numFmtId="167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 style="medium">
        <color indexed="64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medium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indexed="64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medium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indexed="64"/>
      </left>
      <right style="thin">
        <color theme="0"/>
      </right>
      <top/>
      <bottom/>
      <diagonal/>
    </border>
    <border>
      <left style="thin">
        <color theme="0"/>
      </left>
      <right style="medium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8" tint="0.79998168889431442"/>
      </left>
      <right style="thin">
        <color theme="8" tint="0.79998168889431442"/>
      </right>
      <top style="thin">
        <color theme="8" tint="0.59996337778862885"/>
      </top>
      <bottom style="thin">
        <color theme="8" tint="0.79998168889431442"/>
      </bottom>
      <diagonal/>
    </border>
    <border>
      <left style="thin">
        <color theme="8" tint="0.79998168889431442"/>
      </left>
      <right style="medium">
        <color indexed="64"/>
      </right>
      <top style="thin">
        <color theme="8" tint="0.59996337778862885"/>
      </top>
      <bottom style="thin">
        <color theme="8" tint="0.79998168889431442"/>
      </bottom>
      <diagonal/>
    </border>
    <border>
      <left style="thin">
        <color theme="8" tint="0.79998168889431442"/>
      </left>
      <right style="thin">
        <color theme="8" tint="0.79998168889431442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0.79998168889431442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0.79998168889431442"/>
      </left>
      <right style="thin">
        <color theme="8" tint="0.79998168889431442"/>
      </right>
      <top style="thin">
        <color theme="8" tint="0.79998168889431442"/>
      </top>
      <bottom style="thin">
        <color theme="8" tint="0.59996337778862885"/>
      </bottom>
      <diagonal/>
    </border>
    <border>
      <left style="thin">
        <color theme="8" tint="0.79998168889431442"/>
      </left>
      <right style="medium">
        <color indexed="64"/>
      </right>
      <top style="thin">
        <color theme="8" tint="0.79998168889431442"/>
      </top>
      <bottom style="thin">
        <color theme="8" tint="0.59996337778862885"/>
      </bottom>
      <diagonal/>
    </border>
    <border>
      <left style="medium">
        <color indexed="64"/>
      </left>
      <right/>
      <top style="thin">
        <color theme="8" tint="0.59996337778862885"/>
      </top>
      <bottom style="medium">
        <color theme="8" tint="0.79998168889431442"/>
      </bottom>
      <diagonal/>
    </border>
    <border>
      <left style="medium">
        <color indexed="64"/>
      </left>
      <right/>
      <top style="medium">
        <color theme="8" tint="0.79998168889431442"/>
      </top>
      <bottom style="medium">
        <color theme="8" tint="0.79998168889431442"/>
      </bottom>
      <diagonal/>
    </border>
    <border>
      <left style="medium">
        <color indexed="64"/>
      </left>
      <right/>
      <top style="medium">
        <color theme="8" tint="0.79998168889431442"/>
      </top>
      <bottom style="thin">
        <color theme="8" tint="0.59996337778862885"/>
      </bottom>
      <diagonal/>
    </border>
    <border>
      <left/>
      <right style="thin">
        <color theme="8" tint="0.79998168889431442"/>
      </right>
      <top style="thin">
        <color theme="8" tint="0.59996337778862885"/>
      </top>
      <bottom style="thin">
        <color theme="8" tint="0.79998168889431442"/>
      </bottom>
      <diagonal/>
    </border>
    <border>
      <left/>
      <right style="thin">
        <color theme="8" tint="0.79998168889431442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0.79998168889431442"/>
      </right>
      <top style="thin">
        <color theme="8" tint="0.79998168889431442"/>
      </top>
      <bottom style="thin">
        <color theme="8" tint="0.59996337778862885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 style="thin">
        <color theme="0" tint="-4.9989318521683403E-2"/>
      </top>
      <bottom style="medium">
        <color theme="9" tint="0.39994506668294322"/>
      </bottom>
      <diagonal/>
    </border>
    <border>
      <left/>
      <right/>
      <top style="thin">
        <color theme="0" tint="-4.9989318521683403E-2"/>
      </top>
      <bottom style="medium">
        <color theme="9" tint="0.39994506668294322"/>
      </bottom>
      <diagonal/>
    </border>
    <border>
      <left/>
      <right style="medium">
        <color indexed="64"/>
      </right>
      <top style="thin">
        <color theme="0" tint="-4.9989318521683403E-2"/>
      </top>
      <bottom style="medium">
        <color theme="9" tint="0.39994506668294322"/>
      </bottom>
      <diagonal/>
    </border>
    <border>
      <left style="medium">
        <color indexed="64"/>
      </left>
      <right/>
      <top style="medium">
        <color theme="9" tint="0.39994506668294322"/>
      </top>
      <bottom/>
      <diagonal/>
    </border>
    <border>
      <left/>
      <right/>
      <top style="medium">
        <color theme="9" tint="0.39994506668294322"/>
      </top>
      <bottom/>
      <diagonal/>
    </border>
    <border>
      <left/>
      <right style="medium">
        <color indexed="64"/>
      </right>
      <top style="medium">
        <color theme="9" tint="0.39994506668294322"/>
      </top>
      <bottom/>
      <diagonal/>
    </border>
    <border>
      <left style="medium">
        <color indexed="64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medium">
        <color indexed="64"/>
      </right>
      <top style="thin">
        <color theme="0" tint="-4.9989318521683403E-2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56">
    <xf numFmtId="0" fontId="0" fillId="0" borderId="0" xfId="0"/>
    <xf numFmtId="0" fontId="1" fillId="0" borderId="0" xfId="1"/>
    <xf numFmtId="0" fontId="0" fillId="0" borderId="0" xfId="0" applyAlignment="1">
      <alignment horizontal="center"/>
    </xf>
    <xf numFmtId="44" fontId="0" fillId="0" borderId="0" xfId="2" applyFont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3" fillId="0" borderId="0" xfId="0" applyFont="1"/>
    <xf numFmtId="0" fontId="0" fillId="2" borderId="0" xfId="0" applyFill="1"/>
    <xf numFmtId="0" fontId="0" fillId="3" borderId="0" xfId="0" applyFill="1"/>
    <xf numFmtId="2" fontId="0" fillId="0" borderId="0" xfId="0" applyNumberFormat="1"/>
    <xf numFmtId="0" fontId="3" fillId="0" borderId="5" xfId="0" applyFont="1" applyBorder="1"/>
    <xf numFmtId="0" fontId="0" fillId="4" borderId="0" xfId="0" applyFill="1"/>
    <xf numFmtId="0" fontId="0" fillId="4" borderId="8" xfId="0" applyFill="1" applyBorder="1"/>
    <xf numFmtId="0" fontId="0" fillId="4" borderId="5" xfId="0" applyFill="1" applyBorder="1"/>
    <xf numFmtId="0" fontId="1" fillId="0" borderId="0" xfId="1" applyFill="1" applyBorder="1"/>
    <xf numFmtId="0" fontId="0" fillId="4" borderId="1" xfId="0" applyFill="1" applyBorder="1"/>
    <xf numFmtId="0" fontId="4" fillId="0" borderId="0" xfId="0" applyFont="1"/>
    <xf numFmtId="44" fontId="0" fillId="0" borderId="0" xfId="0" applyNumberFormat="1"/>
    <xf numFmtId="0" fontId="0" fillId="0" borderId="0" xfId="2" applyNumberFormat="1" applyFont="1"/>
    <xf numFmtId="4" fontId="0" fillId="0" borderId="0" xfId="0" applyNumberFormat="1"/>
    <xf numFmtId="43" fontId="0" fillId="0" borderId="0" xfId="3" applyFont="1" applyBorder="1"/>
    <xf numFmtId="165" fontId="0" fillId="4" borderId="0" xfId="0" applyNumberFormat="1" applyFill="1"/>
    <xf numFmtId="166" fontId="0" fillId="4" borderId="0" xfId="0" applyNumberFormat="1" applyFill="1"/>
    <xf numFmtId="2" fontId="0" fillId="4" borderId="0" xfId="0" applyNumberFormat="1" applyFill="1"/>
    <xf numFmtId="0" fontId="0" fillId="0" borderId="5" xfId="0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8" borderId="17" xfId="0" applyFill="1" applyBorder="1"/>
    <xf numFmtId="0" fontId="0" fillId="8" borderId="20" xfId="0" applyFill="1" applyBorder="1"/>
    <xf numFmtId="0" fontId="0" fillId="8" borderId="21" xfId="0" applyFill="1" applyBorder="1"/>
    <xf numFmtId="0" fontId="0" fillId="8" borderId="22" xfId="0" applyFill="1" applyBorder="1"/>
    <xf numFmtId="0" fontId="0" fillId="0" borderId="24" xfId="0" applyBorder="1"/>
    <xf numFmtId="0" fontId="0" fillId="0" borderId="25" xfId="0" applyBorder="1"/>
    <xf numFmtId="0" fontId="0" fillId="8" borderId="28" xfId="0" applyFill="1" applyBorder="1"/>
    <xf numFmtId="0" fontId="0" fillId="8" borderId="29" xfId="0" applyFill="1" applyBorder="1"/>
    <xf numFmtId="0" fontId="0" fillId="8" borderId="30" xfId="0" applyFill="1" applyBorder="1"/>
    <xf numFmtId="2" fontId="0" fillId="8" borderId="29" xfId="0" applyNumberFormat="1" applyFill="1" applyBorder="1"/>
    <xf numFmtId="0" fontId="0" fillId="0" borderId="34" xfId="0" applyBorder="1"/>
    <xf numFmtId="0" fontId="0" fillId="11" borderId="35" xfId="0" applyFill="1" applyBorder="1"/>
    <xf numFmtId="0" fontId="0" fillId="11" borderId="36" xfId="0" applyFill="1" applyBorder="1"/>
    <xf numFmtId="0" fontId="0" fillId="11" borderId="37" xfId="0" applyFill="1" applyBorder="1"/>
    <xf numFmtId="0" fontId="0" fillId="11" borderId="38" xfId="0" applyFill="1" applyBorder="1"/>
    <xf numFmtId="0" fontId="0" fillId="11" borderId="39" xfId="0" applyFill="1" applyBorder="1"/>
    <xf numFmtId="0" fontId="0" fillId="11" borderId="40" xfId="0" applyFill="1" applyBorder="1"/>
    <xf numFmtId="0" fontId="0" fillId="11" borderId="41" xfId="0" applyFill="1" applyBorder="1"/>
    <xf numFmtId="0" fontId="0" fillId="11" borderId="42" xfId="0" applyFill="1" applyBorder="1"/>
    <xf numFmtId="0" fontId="0" fillId="11" borderId="43" xfId="0" applyFill="1" applyBorder="1"/>
    <xf numFmtId="0" fontId="0" fillId="11" borderId="44" xfId="0" applyFill="1" applyBorder="1"/>
    <xf numFmtId="0" fontId="0" fillId="11" borderId="45" xfId="0" applyFill="1" applyBorder="1"/>
    <xf numFmtId="0" fontId="0" fillId="11" borderId="46" xfId="0" applyFill="1" applyBorder="1"/>
    <xf numFmtId="0" fontId="6" fillId="8" borderId="7" xfId="0" applyFont="1" applyFill="1" applyBorder="1" applyAlignment="1">
      <alignment horizontal="left" indent="2"/>
    </xf>
    <xf numFmtId="0" fontId="6" fillId="8" borderId="8" xfId="0" applyFont="1" applyFill="1" applyBorder="1" applyAlignment="1">
      <alignment horizontal="left" indent="2"/>
    </xf>
    <xf numFmtId="0" fontId="6" fillId="8" borderId="9" xfId="0" applyFont="1" applyFill="1" applyBorder="1" applyAlignment="1">
      <alignment horizontal="left" indent="2"/>
    </xf>
    <xf numFmtId="0" fontId="6" fillId="8" borderId="30" xfId="0" applyFont="1" applyFill="1" applyBorder="1" applyAlignment="1">
      <alignment horizontal="left"/>
    </xf>
    <xf numFmtId="0" fontId="6" fillId="8" borderId="23" xfId="0" applyFont="1" applyFill="1" applyBorder="1" applyAlignment="1">
      <alignment horizontal="left"/>
    </xf>
    <xf numFmtId="0" fontId="6" fillId="8" borderId="31" xfId="0" applyFont="1" applyFill="1" applyBorder="1" applyAlignment="1">
      <alignment horizontal="left"/>
    </xf>
    <xf numFmtId="0" fontId="7" fillId="10" borderId="8" xfId="0" applyFont="1" applyFill="1" applyBorder="1" applyAlignment="1">
      <alignment horizontal="left" vertical="top"/>
    </xf>
    <xf numFmtId="0" fontId="7" fillId="10" borderId="9" xfId="0" applyFont="1" applyFill="1" applyBorder="1" applyAlignment="1">
      <alignment horizontal="left" vertical="top"/>
    </xf>
    <xf numFmtId="0" fontId="0" fillId="10" borderId="8" xfId="0" applyFill="1" applyBorder="1" applyAlignment="1">
      <alignment horizontal="left" vertical="top"/>
    </xf>
    <xf numFmtId="0" fontId="0" fillId="10" borderId="7" xfId="0" applyFill="1" applyBorder="1" applyAlignment="1">
      <alignment horizontal="left" vertical="top"/>
    </xf>
    <xf numFmtId="0" fontId="0" fillId="8" borderId="17" xfId="0" applyFill="1" applyBorder="1" applyAlignment="1">
      <alignment horizontal="right"/>
    </xf>
    <xf numFmtId="2" fontId="0" fillId="8" borderId="17" xfId="0" applyNumberFormat="1" applyFill="1" applyBorder="1" applyAlignment="1">
      <alignment horizontal="right" vertical="center"/>
    </xf>
    <xf numFmtId="0" fontId="0" fillId="8" borderId="17" xfId="0" applyFill="1" applyBorder="1" applyAlignment="1">
      <alignment horizontal="right" vertical="center"/>
    </xf>
    <xf numFmtId="166" fontId="0" fillId="8" borderId="17" xfId="0" applyNumberFormat="1" applyFill="1" applyBorder="1" applyAlignment="1">
      <alignment horizontal="right" vertical="center"/>
    </xf>
    <xf numFmtId="164" fontId="0" fillId="8" borderId="29" xfId="0" applyNumberFormat="1" applyFill="1" applyBorder="1"/>
    <xf numFmtId="2" fontId="0" fillId="8" borderId="17" xfId="0" applyNumberFormat="1" applyFill="1" applyBorder="1" applyAlignment="1">
      <alignment horizontal="right"/>
    </xf>
    <xf numFmtId="164" fontId="0" fillId="0" borderId="6" xfId="0" applyNumberFormat="1" applyBorder="1"/>
    <xf numFmtId="3" fontId="0" fillId="0" borderId="0" xfId="0" applyNumberFormat="1"/>
    <xf numFmtId="2" fontId="0" fillId="0" borderId="6" xfId="0" applyNumberFormat="1" applyBorder="1"/>
    <xf numFmtId="3" fontId="0" fillId="0" borderId="8" xfId="0" applyNumberFormat="1" applyBorder="1"/>
    <xf numFmtId="164" fontId="0" fillId="0" borderId="9" xfId="0" applyNumberFormat="1" applyBorder="1"/>
    <xf numFmtId="2" fontId="0" fillId="0" borderId="8" xfId="0" applyNumberFormat="1" applyBorder="1"/>
    <xf numFmtId="2" fontId="0" fillId="0" borderId="9" xfId="0" applyNumberFormat="1" applyBorder="1"/>
    <xf numFmtId="167" fontId="0" fillId="8" borderId="17" xfId="3" applyNumberFormat="1" applyFont="1" applyFill="1" applyBorder="1" applyAlignment="1">
      <alignment horizontal="right"/>
    </xf>
    <xf numFmtId="167" fontId="0" fillId="8" borderId="17" xfId="3" applyNumberFormat="1" applyFont="1" applyFill="1" applyBorder="1" applyAlignment="1">
      <alignment horizontal="right" vertical="center"/>
    </xf>
    <xf numFmtId="0" fontId="10" fillId="0" borderId="0" xfId="1" applyFont="1" applyFill="1" applyBorder="1"/>
    <xf numFmtId="0" fontId="9" fillId="0" borderId="0" xfId="0" applyFont="1"/>
    <xf numFmtId="0" fontId="10" fillId="0" borderId="0" xfId="1" applyFont="1"/>
    <xf numFmtId="0" fontId="9" fillId="0" borderId="6" xfId="0" applyFont="1" applyBorder="1"/>
    <xf numFmtId="167" fontId="0" fillId="8" borderId="17" xfId="0" applyNumberFormat="1" applyFill="1" applyBorder="1"/>
    <xf numFmtId="0" fontId="0" fillId="8" borderId="5" xfId="0" applyFill="1" applyBorder="1"/>
    <xf numFmtId="0" fontId="0" fillId="8" borderId="0" xfId="0" applyFill="1"/>
    <xf numFmtId="0" fontId="0" fillId="8" borderId="6" xfId="0" applyFill="1" applyBorder="1"/>
    <xf numFmtId="0" fontId="0" fillId="0" borderId="0" xfId="0" applyAlignment="1">
      <alignment horizontal="right"/>
    </xf>
    <xf numFmtId="0" fontId="0" fillId="7" borderId="47" xfId="0" applyFill="1" applyBorder="1" applyAlignment="1" applyProtection="1">
      <alignment horizontal="center"/>
      <protection locked="0" hidden="1"/>
    </xf>
    <xf numFmtId="3" fontId="0" fillId="7" borderId="47" xfId="0" applyNumberFormat="1" applyFill="1" applyBorder="1" applyAlignment="1" applyProtection="1">
      <alignment horizontal="center"/>
      <protection locked="0" hidden="1"/>
    </xf>
    <xf numFmtId="0" fontId="0" fillId="7" borderId="47" xfId="0" applyFill="1" applyBorder="1" applyAlignment="1" applyProtection="1">
      <alignment horizontal="left"/>
      <protection locked="0" hidden="1"/>
    </xf>
    <xf numFmtId="14" fontId="0" fillId="7" borderId="47" xfId="0" applyNumberFormat="1" applyFill="1" applyBorder="1" applyAlignment="1" applyProtection="1">
      <alignment horizontal="left"/>
      <protection locked="0" hidden="1"/>
    </xf>
    <xf numFmtId="0" fontId="0" fillId="5" borderId="0" xfId="0" applyFill="1"/>
    <xf numFmtId="0" fontId="0" fillId="0" borderId="5" xfId="0" applyBorder="1" applyAlignment="1">
      <alignment wrapText="1"/>
    </xf>
    <xf numFmtId="0" fontId="3" fillId="0" borderId="2" xfId="0" applyFont="1" applyBorder="1"/>
    <xf numFmtId="0" fontId="3" fillId="0" borderId="3" xfId="0" applyFont="1" applyBorder="1"/>
    <xf numFmtId="0" fontId="0" fillId="0" borderId="3" xfId="0" applyBorder="1"/>
    <xf numFmtId="0" fontId="10" fillId="0" borderId="3" xfId="1" applyFont="1" applyFill="1" applyBorder="1"/>
    <xf numFmtId="0" fontId="0" fillId="0" borderId="4" xfId="0" applyBorder="1"/>
    <xf numFmtId="0" fontId="9" fillId="0" borderId="3" xfId="0" applyFont="1" applyBorder="1"/>
    <xf numFmtId="165" fontId="0" fillId="0" borderId="0" xfId="0" applyNumberFormat="1"/>
    <xf numFmtId="0" fontId="0" fillId="0" borderId="2" xfId="0" applyBorder="1"/>
    <xf numFmtId="43" fontId="0" fillId="8" borderId="17" xfId="3" applyFont="1" applyFill="1" applyBorder="1" applyAlignment="1">
      <alignment horizontal="right" vertical="center"/>
    </xf>
    <xf numFmtId="0" fontId="6" fillId="12" borderId="51" xfId="0" applyFont="1" applyFill="1" applyBorder="1" applyAlignment="1">
      <alignment horizontal="left" indent="2"/>
    </xf>
    <xf numFmtId="0" fontId="6" fillId="12" borderId="52" xfId="0" applyFont="1" applyFill="1" applyBorder="1" applyAlignment="1">
      <alignment horizontal="left" indent="2"/>
    </xf>
    <xf numFmtId="0" fontId="6" fillId="12" borderId="53" xfId="0" applyFont="1" applyFill="1" applyBorder="1" applyAlignment="1">
      <alignment horizontal="left" indent="2"/>
    </xf>
    <xf numFmtId="0" fontId="7" fillId="10" borderId="2" xfId="0" applyFont="1" applyFill="1" applyBorder="1" applyAlignment="1">
      <alignment horizontal="left" vertical="top"/>
    </xf>
    <xf numFmtId="0" fontId="7" fillId="10" borderId="3" xfId="0" applyFont="1" applyFill="1" applyBorder="1" applyAlignment="1">
      <alignment horizontal="left" vertical="top"/>
    </xf>
    <xf numFmtId="0" fontId="7" fillId="10" borderId="4" xfId="0" applyFont="1" applyFill="1" applyBorder="1" applyAlignment="1">
      <alignment horizontal="left" vertical="top"/>
    </xf>
    <xf numFmtId="0" fontId="6" fillId="9" borderId="26" xfId="0" applyFont="1" applyFill="1" applyBorder="1" applyAlignment="1">
      <alignment horizontal="left"/>
    </xf>
    <xf numFmtId="0" fontId="6" fillId="9" borderId="18" xfId="0" applyFont="1" applyFill="1" applyBorder="1" applyAlignment="1">
      <alignment horizontal="left"/>
    </xf>
    <xf numFmtId="0" fontId="6" fillId="9" borderId="27" xfId="0" applyFont="1" applyFill="1" applyBorder="1" applyAlignment="1">
      <alignment horizontal="left"/>
    </xf>
    <xf numFmtId="0" fontId="6" fillId="12" borderId="48" xfId="0" applyFont="1" applyFill="1" applyBorder="1" applyAlignment="1">
      <alignment horizontal="left" indent="2"/>
    </xf>
    <xf numFmtId="0" fontId="6" fillId="12" borderId="49" xfId="0" applyFont="1" applyFill="1" applyBorder="1" applyAlignment="1">
      <alignment horizontal="left" indent="2"/>
    </xf>
    <xf numFmtId="0" fontId="6" fillId="12" borderId="50" xfId="0" applyFont="1" applyFill="1" applyBorder="1" applyAlignment="1">
      <alignment horizontal="left" indent="2"/>
    </xf>
    <xf numFmtId="0" fontId="6" fillId="9" borderId="32" xfId="0" applyFont="1" applyFill="1" applyBorder="1" applyAlignment="1">
      <alignment horizontal="left"/>
    </xf>
    <xf numFmtId="0" fontId="6" fillId="9" borderId="19" xfId="0" applyFont="1" applyFill="1" applyBorder="1" applyAlignment="1">
      <alignment horizontal="left"/>
    </xf>
    <xf numFmtId="0" fontId="6" fillId="9" borderId="33" xfId="0" applyFont="1" applyFill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0" fontId="8" fillId="6" borderId="0" xfId="0" applyFont="1" applyFill="1" applyAlignment="1">
      <alignment horizontal="left"/>
    </xf>
    <xf numFmtId="0" fontId="8" fillId="6" borderId="6" xfId="0" applyFont="1" applyFill="1" applyBorder="1" applyAlignment="1">
      <alignment horizontal="left"/>
    </xf>
    <xf numFmtId="0" fontId="6" fillId="9" borderId="30" xfId="0" applyFont="1" applyFill="1" applyBorder="1" applyAlignment="1">
      <alignment horizontal="left"/>
    </xf>
    <xf numFmtId="0" fontId="6" fillId="9" borderId="23" xfId="0" applyFont="1" applyFill="1" applyBorder="1" applyAlignment="1">
      <alignment horizontal="left"/>
    </xf>
    <xf numFmtId="0" fontId="6" fillId="9" borderId="31" xfId="0" applyFont="1" applyFill="1" applyBorder="1" applyAlignment="1">
      <alignment horizontal="left"/>
    </xf>
    <xf numFmtId="0" fontId="6" fillId="12" borderId="54" xfId="0" applyFont="1" applyFill="1" applyBorder="1" applyAlignment="1">
      <alignment horizontal="center" wrapText="1"/>
    </xf>
    <xf numFmtId="0" fontId="6" fillId="12" borderId="55" xfId="0" applyFont="1" applyFill="1" applyBorder="1" applyAlignment="1">
      <alignment horizontal="center" wrapText="1"/>
    </xf>
    <xf numFmtId="0" fontId="6" fillId="12" borderId="56" xfId="0" applyFont="1" applyFill="1" applyBorder="1" applyAlignment="1">
      <alignment horizontal="center" wrapText="1"/>
    </xf>
    <xf numFmtId="0" fontId="6" fillId="12" borderId="5" xfId="0" applyFont="1" applyFill="1" applyBorder="1" applyAlignment="1">
      <alignment horizontal="center"/>
    </xf>
    <xf numFmtId="0" fontId="6" fillId="12" borderId="0" xfId="0" applyFont="1" applyFill="1" applyAlignment="1">
      <alignment horizontal="center"/>
    </xf>
    <xf numFmtId="0" fontId="6" fillId="12" borderId="6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14" borderId="10" xfId="0" applyFill="1" applyBorder="1" applyAlignment="1">
      <alignment horizontal="center"/>
    </xf>
    <xf numFmtId="0" fontId="0" fillId="14" borderId="11" xfId="0" applyFill="1" applyBorder="1" applyAlignment="1">
      <alignment horizontal="center"/>
    </xf>
    <xf numFmtId="0" fontId="0" fillId="14" borderId="12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13" borderId="10" xfId="0" applyFill="1" applyBorder="1" applyAlignment="1">
      <alignment horizontal="center"/>
    </xf>
    <xf numFmtId="0" fontId="0" fillId="13" borderId="11" xfId="0" applyFill="1" applyBorder="1" applyAlignment="1">
      <alignment horizontal="center"/>
    </xf>
    <xf numFmtId="0" fontId="0" fillId="13" borderId="12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0" xfId="0" applyAlignment="1">
      <alignment horizontal="center" wrapText="1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</cellXfs>
  <cellStyles count="4">
    <cellStyle name="Komma" xfId="3" builtinId="3"/>
    <cellStyle name="Link" xfId="1" builtinId="8"/>
    <cellStyle name="Standard" xfId="0" builtinId="0"/>
    <cellStyle name="Währung" xfId="2" builtinId="4"/>
  </cellStyles>
  <dxfs count="1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gif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623887</xdr:colOff>
      <xdr:row>0</xdr:row>
      <xdr:rowOff>95250</xdr:rowOff>
    </xdr:from>
    <xdr:to>
      <xdr:col>5</xdr:col>
      <xdr:colOff>539749</xdr:colOff>
      <xdr:row>1</xdr:row>
      <xdr:rowOff>158750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F7E9564-BB15-F07A-623E-03590D794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3462" y="95250"/>
          <a:ext cx="221456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127000</xdr:colOff>
      <xdr:row>33</xdr:row>
      <xdr:rowOff>21167</xdr:rowOff>
    </xdr:from>
    <xdr:to>
      <xdr:col>7</xdr:col>
      <xdr:colOff>2131787</xdr:colOff>
      <xdr:row>43</xdr:row>
      <xdr:rowOff>158750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5493BE1-0A88-496A-BEE8-A0710B923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84000" y="6783917"/>
          <a:ext cx="2004787" cy="2063750"/>
        </a:xfrm>
        <a:prstGeom prst="rect">
          <a:avLst/>
        </a:prstGeom>
      </xdr:spPr>
    </xdr:pic>
    <xdr:clientData/>
  </xdr:twoCellAnchor>
  <xdr:twoCellAnchor editAs="oneCell">
    <xdr:from>
      <xdr:col>7</xdr:col>
      <xdr:colOff>3321356</xdr:colOff>
      <xdr:row>36</xdr:row>
      <xdr:rowOff>0</xdr:rowOff>
    </xdr:from>
    <xdr:to>
      <xdr:col>11</xdr:col>
      <xdr:colOff>10584</xdr:colOff>
      <xdr:row>40</xdr:row>
      <xdr:rowOff>50641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739CC984-2893-62D3-781D-A0D84B0BD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78356" y="7355417"/>
          <a:ext cx="3134478" cy="812641"/>
        </a:xfrm>
        <a:prstGeom prst="rect">
          <a:avLst/>
        </a:prstGeom>
      </xdr:spPr>
    </xdr:pic>
    <xdr:clientData/>
  </xdr:twoCellAnchor>
  <xdr:twoCellAnchor editAs="oneCell">
    <xdr:from>
      <xdr:col>7</xdr:col>
      <xdr:colOff>2116666</xdr:colOff>
      <xdr:row>36</xdr:row>
      <xdr:rowOff>46732</xdr:rowOff>
    </xdr:from>
    <xdr:to>
      <xdr:col>7</xdr:col>
      <xdr:colOff>3167925</xdr:colOff>
      <xdr:row>40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A650738-D93D-F3DB-D48D-38A5A7E0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73666" y="7402149"/>
          <a:ext cx="1051259" cy="7152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33340</xdr:colOff>
      <xdr:row>60</xdr:row>
      <xdr:rowOff>3173</xdr:rowOff>
    </xdr:from>
    <xdr:to>
      <xdr:col>6</xdr:col>
      <xdr:colOff>14367</xdr:colOff>
      <xdr:row>62</xdr:row>
      <xdr:rowOff>77810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D8CE047-5480-408A-A708-9338B1E36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3090" y="10313986"/>
          <a:ext cx="1505027" cy="4397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9527</xdr:colOff>
      <xdr:row>55</xdr:row>
      <xdr:rowOff>98423</xdr:rowOff>
    </xdr:from>
    <xdr:to>
      <xdr:col>5</xdr:col>
      <xdr:colOff>752554</xdr:colOff>
      <xdr:row>57</xdr:row>
      <xdr:rowOff>173060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7DF2B0C-6CB4-40F8-B22A-78737F5A9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49627" y="9375773"/>
          <a:ext cx="1505027" cy="442937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harma, Santschit" id="{C9D4BA97-A6CC-438F-B2D7-1A9D73241F9D}" userId="S::santschit.sharma@cml.fraunhofer.de::ed0d966f-2dea-4d1b-a308-d94b671c7234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5" dT="2022-11-14T15:54:24.14" personId="{C9D4BA97-A6CC-438F-B2D7-1A9D73241F9D}" id="{B77ABC3F-079E-491A-A7DE-502ED7475705}">
    <text>Übersichtlicher gestalten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2.xml"/><Relationship Id="rId3" Type="http://schemas.openxmlformats.org/officeDocument/2006/relationships/hyperlink" Target="https://www.schweizer-fn.de/stoff/wkapazitaet/wkapazitaet_gase.php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s://www.schweizer-fn.de/stoff/wkapazitaet/wkapazitaet_gase.php" TargetMode="External"/><Relationship Id="rId1" Type="http://schemas.openxmlformats.org/officeDocument/2006/relationships/hyperlink" Target="https://www.unternehmensberatung-babel.de/industriegase-lexikon/viskositaet/dynamische-viskositaet-wasserstoff.html" TargetMode="External"/><Relationship Id="rId6" Type="http://schemas.openxmlformats.org/officeDocument/2006/relationships/hyperlink" Target="https://gwf-gas.de/wp-content/uploads/2021/05/GE_05_2021_fb_Mischner.pdf" TargetMode="External"/><Relationship Id="rId5" Type="http://schemas.openxmlformats.org/officeDocument/2006/relationships/hyperlink" Target="https://gwf-gas.de/wp-content/uploads/2021/05/GE_05_2021_fb_Mischner.pdf" TargetMode="External"/><Relationship Id="rId4" Type="http://schemas.openxmlformats.org/officeDocument/2006/relationships/hyperlink" Target="https://gwf-gas.de/wp-content/uploads/2021/05/GE_05_2021_fb_Mischner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chweizer-fn.de/stoff/wkapazitaet/wkapazitaet_gase.php" TargetMode="External"/><Relationship Id="rId7" Type="http://schemas.openxmlformats.org/officeDocument/2006/relationships/drawing" Target="../drawings/drawing3.xml"/><Relationship Id="rId2" Type="http://schemas.openxmlformats.org/officeDocument/2006/relationships/hyperlink" Target="https://www.schweizer-fn.de/stoff/wkapazitaet/wkapazitaet_gase.php" TargetMode="External"/><Relationship Id="rId1" Type="http://schemas.openxmlformats.org/officeDocument/2006/relationships/hyperlink" Target="https://www.unternehmensberatung-babel.de/industriegase-lexikon/viskositaet/dynamische-viskositaet-wasserstoff.html" TargetMode="External"/><Relationship Id="rId6" Type="http://schemas.openxmlformats.org/officeDocument/2006/relationships/hyperlink" Target="https://gwf-gas.de/wp-content/uploads/2021/05/GE_05_2021_fb_Mischner.pdf" TargetMode="External"/><Relationship Id="rId5" Type="http://schemas.openxmlformats.org/officeDocument/2006/relationships/hyperlink" Target="https://gwf-gas.de/wp-content/uploads/2021/05/GE_05_2021_fb_Mischner.pdf" TargetMode="External"/><Relationship Id="rId4" Type="http://schemas.openxmlformats.org/officeDocument/2006/relationships/hyperlink" Target="https://gwf-gas.de/wp-content/uploads/2021/05/GE_05_2021_fb_Mischner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de.statista.com/statistik/daten/studie/289437/umfrage/strompreis-am-epex-spotmark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7CC2A-DEAF-4595-92CF-478CE4638A92}">
  <dimension ref="A1:P37"/>
  <sheetViews>
    <sheetView tabSelected="1" zoomScale="90" zoomScaleNormal="90" workbookViewId="0">
      <selection activeCell="I6" sqref="I6"/>
    </sheetView>
  </sheetViews>
  <sheetFormatPr baseColWidth="10" defaultColWidth="10.85546875" defaultRowHeight="15" x14ac:dyDescent="0.25"/>
  <cols>
    <col min="1" max="1" width="49.5703125" style="28" customWidth="1"/>
    <col min="2" max="2" width="14.28515625" style="28" customWidth="1"/>
    <col min="3" max="3" width="10.85546875" style="28"/>
    <col min="4" max="4" width="11.140625" style="28" bestFit="1" customWidth="1"/>
    <col min="5" max="5" width="10.85546875" style="28"/>
    <col min="6" max="6" width="74.140625" style="28" customWidth="1"/>
    <col min="7" max="7" width="2.7109375" style="28" customWidth="1"/>
    <col min="8" max="8" width="51.85546875" style="28" customWidth="1"/>
    <col min="9" max="9" width="23.140625" style="28" customWidth="1"/>
    <col min="10" max="12" width="10.85546875" style="28"/>
    <col min="13" max="13" width="15.140625" style="28" customWidth="1"/>
    <col min="14" max="16384" width="10.85546875" style="28"/>
  </cols>
  <sheetData>
    <row r="1" spans="1:16" ht="41.1" customHeight="1" x14ac:dyDescent="0.25">
      <c r="A1" s="107" t="s">
        <v>200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9"/>
      <c r="N1" s="29"/>
    </row>
    <row r="2" spans="1:16" ht="19.5" customHeight="1" thickBot="1" x14ac:dyDescent="0.3">
      <c r="A2" s="64" t="s">
        <v>203</v>
      </c>
      <c r="B2" s="61"/>
      <c r="C2" s="61"/>
      <c r="D2" s="63"/>
      <c r="E2" s="61"/>
      <c r="F2" s="61"/>
      <c r="G2" s="61"/>
      <c r="H2" s="61"/>
      <c r="I2" s="61"/>
      <c r="J2" s="61"/>
      <c r="K2" s="61"/>
      <c r="L2" s="61"/>
      <c r="M2" s="62"/>
      <c r="N2" s="29"/>
    </row>
    <row r="3" spans="1:16" ht="21" x14ac:dyDescent="0.35">
      <c r="A3" s="119" t="s">
        <v>201</v>
      </c>
      <c r="B3" s="120"/>
      <c r="C3" s="120"/>
      <c r="D3" s="120"/>
      <c r="E3" s="120"/>
      <c r="F3" s="121"/>
      <c r="G3" s="42"/>
      <c r="H3" s="119" t="s">
        <v>205</v>
      </c>
      <c r="I3" s="120"/>
      <c r="J3" s="120"/>
      <c r="K3" s="120"/>
      <c r="L3" s="120"/>
      <c r="M3" s="121"/>
      <c r="N3" s="29"/>
    </row>
    <row r="4" spans="1:16" ht="15.75" thickBot="1" x14ac:dyDescent="0.3">
      <c r="A4" s="49" t="s">
        <v>137</v>
      </c>
      <c r="B4" s="91" t="s">
        <v>202</v>
      </c>
      <c r="C4" s="52"/>
      <c r="D4" s="43"/>
      <c r="E4" s="43"/>
      <c r="F4" s="44"/>
      <c r="G4" s="31"/>
      <c r="H4" s="49" t="s">
        <v>137</v>
      </c>
      <c r="I4" s="91" t="s">
        <v>202</v>
      </c>
      <c r="J4" s="52"/>
      <c r="K4" s="43"/>
      <c r="L4" s="43"/>
      <c r="M4" s="44"/>
      <c r="N4" s="29"/>
    </row>
    <row r="5" spans="1:16" ht="15.75" thickBot="1" x14ac:dyDescent="0.3">
      <c r="A5" s="50" t="s">
        <v>138</v>
      </c>
      <c r="B5" s="92">
        <v>44851</v>
      </c>
      <c r="C5" s="53"/>
      <c r="D5" s="45"/>
      <c r="E5" s="45"/>
      <c r="F5" s="46"/>
      <c r="G5" s="31"/>
      <c r="H5" s="50" t="s">
        <v>138</v>
      </c>
      <c r="I5" s="92">
        <v>44851</v>
      </c>
      <c r="J5" s="53"/>
      <c r="K5" s="45"/>
      <c r="L5" s="45"/>
      <c r="M5" s="46"/>
      <c r="N5" s="29"/>
    </row>
    <row r="6" spans="1:16" x14ac:dyDescent="0.25">
      <c r="A6" s="51" t="s">
        <v>139</v>
      </c>
      <c r="B6" s="91"/>
      <c r="C6" s="54"/>
      <c r="D6" s="47"/>
      <c r="E6" s="47"/>
      <c r="F6" s="48"/>
      <c r="G6" s="31"/>
      <c r="H6" s="51" t="s">
        <v>139</v>
      </c>
      <c r="I6" s="91"/>
      <c r="J6" s="54"/>
      <c r="K6" s="47"/>
      <c r="L6" s="47"/>
      <c r="M6" s="48"/>
      <c r="N6" s="29"/>
    </row>
    <row r="7" spans="1:16" x14ac:dyDescent="0.25">
      <c r="A7" s="36"/>
      <c r="B7" s="30"/>
      <c r="C7" s="30"/>
      <c r="D7" s="30"/>
      <c r="E7" s="30"/>
      <c r="F7" s="37"/>
      <c r="G7" s="31"/>
      <c r="H7" s="36"/>
      <c r="I7" s="30"/>
      <c r="J7" s="30"/>
      <c r="K7" s="30"/>
      <c r="L7" s="30"/>
      <c r="M7" s="37"/>
      <c r="N7" s="29"/>
      <c r="P7"/>
    </row>
    <row r="8" spans="1:16" x14ac:dyDescent="0.25">
      <c r="A8" s="110" t="s">
        <v>140</v>
      </c>
      <c r="B8" s="111"/>
      <c r="C8" s="111"/>
      <c r="D8" s="111"/>
      <c r="E8" s="111"/>
      <c r="F8" s="112"/>
      <c r="G8" s="31"/>
      <c r="H8" s="110" t="s">
        <v>195</v>
      </c>
      <c r="I8" s="111"/>
      <c r="J8" s="111"/>
      <c r="K8" s="111"/>
      <c r="L8" s="111"/>
      <c r="M8" s="112"/>
      <c r="N8" s="29"/>
    </row>
    <row r="9" spans="1:16" x14ac:dyDescent="0.25">
      <c r="A9" s="38" t="s">
        <v>141</v>
      </c>
      <c r="B9" s="34"/>
      <c r="C9" s="32"/>
      <c r="D9" s="32"/>
      <c r="E9" s="32"/>
      <c r="F9" s="39"/>
      <c r="G9" s="31"/>
      <c r="H9" s="38" t="s">
        <v>141</v>
      </c>
      <c r="I9" s="34"/>
      <c r="J9" s="32"/>
      <c r="K9" s="32"/>
      <c r="L9" s="32"/>
      <c r="M9" s="39"/>
      <c r="N9" s="29"/>
    </row>
    <row r="10" spans="1:16" x14ac:dyDescent="0.25">
      <c r="A10" s="40" t="s">
        <v>142</v>
      </c>
      <c r="B10" s="89">
        <v>20</v>
      </c>
      <c r="C10" s="33" t="s">
        <v>15</v>
      </c>
      <c r="D10" s="32"/>
      <c r="E10" s="32"/>
      <c r="F10" s="39"/>
      <c r="G10" s="31"/>
      <c r="H10" s="40" t="s">
        <v>142</v>
      </c>
      <c r="I10" s="89">
        <v>70</v>
      </c>
      <c r="J10" s="33" t="s">
        <v>15</v>
      </c>
      <c r="K10" s="32"/>
      <c r="L10" s="32"/>
      <c r="M10" s="39"/>
      <c r="N10" s="29"/>
    </row>
    <row r="11" spans="1:16" x14ac:dyDescent="0.25">
      <c r="A11" s="40" t="s">
        <v>143</v>
      </c>
      <c r="B11" s="90">
        <v>300000</v>
      </c>
      <c r="C11" s="33" t="s">
        <v>1</v>
      </c>
      <c r="D11" s="32"/>
      <c r="E11" s="32"/>
      <c r="F11" s="39"/>
      <c r="G11" s="31"/>
      <c r="H11" s="40" t="s">
        <v>244</v>
      </c>
      <c r="I11" s="89" t="s">
        <v>172</v>
      </c>
      <c r="J11" s="33"/>
      <c r="K11" s="32"/>
      <c r="L11" s="32"/>
      <c r="M11" s="39"/>
      <c r="N11" s="29"/>
    </row>
    <row r="12" spans="1:16" x14ac:dyDescent="0.25">
      <c r="A12" s="40" t="s">
        <v>144</v>
      </c>
      <c r="B12" s="89">
        <v>6</v>
      </c>
      <c r="C12" s="33" t="s">
        <v>145</v>
      </c>
      <c r="D12" s="32"/>
      <c r="E12" s="32"/>
      <c r="F12" s="39"/>
      <c r="G12" s="31"/>
      <c r="H12" s="38" t="s">
        <v>225</v>
      </c>
      <c r="I12" s="89" t="s">
        <v>147</v>
      </c>
      <c r="J12" s="33"/>
      <c r="K12" s="32"/>
      <c r="L12" s="32"/>
      <c r="M12" s="39"/>
      <c r="N12" s="29"/>
    </row>
    <row r="13" spans="1:16" x14ac:dyDescent="0.25">
      <c r="A13" s="38" t="s">
        <v>225</v>
      </c>
      <c r="B13" s="89" t="s">
        <v>147</v>
      </c>
      <c r="C13" s="33"/>
      <c r="D13" s="32"/>
      <c r="E13" s="32"/>
      <c r="F13" s="39"/>
      <c r="G13" s="31"/>
      <c r="H13" s="85" t="s">
        <v>216</v>
      </c>
      <c r="I13" s="89">
        <v>2</v>
      </c>
      <c r="J13" s="33"/>
      <c r="K13" s="32"/>
      <c r="L13" s="32"/>
      <c r="M13" s="39"/>
      <c r="N13" s="29"/>
    </row>
    <row r="14" spans="1:16" x14ac:dyDescent="0.25">
      <c r="A14" s="40" t="s">
        <v>194</v>
      </c>
      <c r="B14" s="89">
        <v>0</v>
      </c>
      <c r="C14" s="33" t="s">
        <v>186</v>
      </c>
      <c r="D14" s="32"/>
      <c r="E14" s="32"/>
      <c r="F14" s="39"/>
      <c r="G14" s="31"/>
      <c r="H14" s="38"/>
      <c r="I14" s="35"/>
      <c r="J14" s="32"/>
      <c r="K14" s="32"/>
      <c r="L14" s="32"/>
      <c r="M14" s="39"/>
      <c r="N14" s="29"/>
    </row>
    <row r="15" spans="1:16" x14ac:dyDescent="0.25">
      <c r="A15" s="85" t="s">
        <v>216</v>
      </c>
      <c r="B15" s="89">
        <v>2</v>
      </c>
      <c r="C15" s="86"/>
      <c r="D15" s="86"/>
      <c r="E15" s="86"/>
      <c r="F15" s="87"/>
      <c r="G15" s="31"/>
      <c r="H15" s="116" t="s">
        <v>159</v>
      </c>
      <c r="I15" s="117"/>
      <c r="J15" s="117"/>
      <c r="K15" s="117"/>
      <c r="L15" s="117"/>
      <c r="M15" s="118"/>
      <c r="N15" s="29"/>
    </row>
    <row r="16" spans="1:16" x14ac:dyDescent="0.25">
      <c r="A16" s="38"/>
      <c r="B16" s="35"/>
      <c r="C16" s="32"/>
      <c r="D16" s="32"/>
      <c r="E16" s="32"/>
      <c r="F16" s="39"/>
      <c r="G16" s="31"/>
      <c r="H16" s="38" t="s">
        <v>196</v>
      </c>
      <c r="I16" s="65">
        <f>Pipelineoptimierung!B41</f>
        <v>245</v>
      </c>
      <c r="J16" s="32" t="s">
        <v>192</v>
      </c>
      <c r="K16" s="32"/>
      <c r="L16" s="32"/>
      <c r="M16" s="39"/>
      <c r="N16" s="29"/>
    </row>
    <row r="17" spans="1:14" x14ac:dyDescent="0.25">
      <c r="A17" s="110" t="s">
        <v>159</v>
      </c>
      <c r="B17" s="111"/>
      <c r="C17" s="111"/>
      <c r="D17" s="111"/>
      <c r="E17" s="111"/>
      <c r="F17" s="112"/>
      <c r="G17" s="31"/>
      <c r="H17" s="38" t="s">
        <v>217</v>
      </c>
      <c r="I17" s="70">
        <f>Pipelineoptimierung!B37</f>
        <v>6.9061833688699359</v>
      </c>
      <c r="J17" s="32" t="s">
        <v>41</v>
      </c>
      <c r="K17" s="32"/>
      <c r="L17" s="32"/>
      <c r="M17" s="39"/>
      <c r="N17" s="29"/>
    </row>
    <row r="18" spans="1:14" x14ac:dyDescent="0.25">
      <c r="A18" s="38" t="s">
        <v>160</v>
      </c>
      <c r="B18" s="68">
        <f>'Pipeline Auslegung'!B35</f>
        <v>0.58836466409015753</v>
      </c>
      <c r="C18" s="32" t="s">
        <v>39</v>
      </c>
      <c r="D18" s="32"/>
      <c r="E18" s="32"/>
      <c r="F18" s="39"/>
      <c r="G18" s="31"/>
      <c r="H18" s="38" t="str">
        <f>"Wanddicke vom Rohr "&amp;I11</f>
        <v>Wanddicke vom Rohr DN-300</v>
      </c>
      <c r="I18" s="65">
        <f>Pipelineoptimierung!B42</f>
        <v>7.1</v>
      </c>
      <c r="J18" s="32" t="s">
        <v>41</v>
      </c>
      <c r="K18" s="32"/>
      <c r="L18" s="32"/>
      <c r="M18" s="39"/>
      <c r="N18" s="29"/>
    </row>
    <row r="19" spans="1:14" x14ac:dyDescent="0.25">
      <c r="A19" s="38" t="s">
        <v>161</v>
      </c>
      <c r="B19" s="66" t="str">
        <f>'Pipeline Auslegung'!B39</f>
        <v>DN-600</v>
      </c>
      <c r="C19" s="32"/>
      <c r="D19" s="32"/>
      <c r="E19" s="32"/>
      <c r="F19" s="39"/>
      <c r="G19" s="31"/>
      <c r="H19" s="38" t="str">
        <f>"Innendurchmesser vom Rohr "&amp;I11</f>
        <v>Innendurchmesser vom Rohr DN-300</v>
      </c>
      <c r="I19" s="65">
        <f>Pipelineoptimierung!B44*1000</f>
        <v>309.7</v>
      </c>
      <c r="J19" s="32" t="s">
        <v>41</v>
      </c>
      <c r="K19" s="32"/>
      <c r="L19" s="32"/>
      <c r="M19" s="39"/>
      <c r="N19" s="29"/>
    </row>
    <row r="20" spans="1:14" x14ac:dyDescent="0.25">
      <c r="A20" s="38" t="s">
        <v>218</v>
      </c>
      <c r="B20" s="66">
        <f>'Pipeline Auslegung'!B37</f>
        <v>3.71611331099604</v>
      </c>
      <c r="C20" s="32" t="s">
        <v>41</v>
      </c>
      <c r="D20" s="32"/>
      <c r="E20" s="32"/>
      <c r="F20" s="39"/>
      <c r="G20" s="31"/>
      <c r="H20" s="38" t="s">
        <v>220</v>
      </c>
      <c r="I20" s="78">
        <f>Pipelineoptimierung!B45</f>
        <v>870</v>
      </c>
      <c r="J20" s="32" t="s">
        <v>193</v>
      </c>
      <c r="K20" s="32"/>
      <c r="L20" s="32"/>
      <c r="M20" s="39"/>
      <c r="N20" s="29"/>
    </row>
    <row r="21" spans="1:14" x14ac:dyDescent="0.25">
      <c r="A21" s="38" t="s">
        <v>191</v>
      </c>
      <c r="B21" s="67">
        <f>'Pipeline Auslegung'!B43</f>
        <v>245</v>
      </c>
      <c r="C21" s="32" t="s">
        <v>192</v>
      </c>
      <c r="D21" s="32"/>
      <c r="E21" s="32"/>
      <c r="F21" s="69"/>
      <c r="G21" s="31"/>
      <c r="H21" s="38" t="str">
        <f>"Kapazität mit dem Rohr "&amp;I11</f>
        <v>Kapazität mit dem Rohr DN-300</v>
      </c>
      <c r="I21" s="84">
        <f>Pipelineoptimierung!B47</f>
        <v>320015.65981855779</v>
      </c>
      <c r="J21" s="32" t="s">
        <v>1</v>
      </c>
      <c r="K21" s="32"/>
      <c r="L21" s="32"/>
      <c r="M21" s="39"/>
      <c r="N21" s="29"/>
    </row>
    <row r="22" spans="1:14" x14ac:dyDescent="0.25">
      <c r="A22" s="38" t="s">
        <v>162</v>
      </c>
      <c r="B22" s="66" t="str">
        <f>'Pipeline Auslegung'!B41</f>
        <v>DN-600</v>
      </c>
      <c r="C22" s="32"/>
      <c r="D22" s="32"/>
      <c r="E22" s="32"/>
      <c r="F22" s="41"/>
      <c r="G22" s="31"/>
      <c r="H22" s="38" t="s">
        <v>190</v>
      </c>
      <c r="I22" s="70">
        <f>Pipelineoptimierung!B49</f>
        <v>1.0667188660618594</v>
      </c>
      <c r="J22" s="32"/>
      <c r="K22" s="32"/>
      <c r="L22" s="32"/>
      <c r="M22" s="39"/>
      <c r="N22" s="29"/>
    </row>
    <row r="23" spans="1:14" x14ac:dyDescent="0.25">
      <c r="A23" s="38" t="str">
        <f>"Wanddicke vom Rohr "&amp;B19</f>
        <v>Wanddicke vom Rohr DN-600</v>
      </c>
      <c r="B23" s="67">
        <f>'Pipeline Auslegung'!B45</f>
        <v>6.3</v>
      </c>
      <c r="C23" s="32" t="s">
        <v>41</v>
      </c>
      <c r="D23" s="32"/>
      <c r="E23" s="32"/>
      <c r="F23" s="39"/>
      <c r="G23" s="29"/>
      <c r="H23" s="38" t="s">
        <v>48</v>
      </c>
      <c r="I23" s="70">
        <f>Pipelineoptimierung!B59</f>
        <v>1.5658625132867725</v>
      </c>
      <c r="J23" s="32" t="s">
        <v>15</v>
      </c>
      <c r="K23" s="32"/>
      <c r="L23" s="32"/>
      <c r="M23" s="39"/>
    </row>
    <row r="24" spans="1:14" x14ac:dyDescent="0.25">
      <c r="A24" s="38" t="s">
        <v>219</v>
      </c>
      <c r="B24" s="103">
        <f>'Pipeline Auslegung'!B56</f>
        <v>1130</v>
      </c>
      <c r="C24" s="32" t="s">
        <v>193</v>
      </c>
      <c r="D24" s="32"/>
      <c r="E24" s="32"/>
      <c r="F24" s="39"/>
      <c r="G24" s="29"/>
      <c r="H24" s="38" t="s">
        <v>197</v>
      </c>
      <c r="I24" s="66">
        <f>Pipelineoptimierung!B60</f>
        <v>26.097708554779544</v>
      </c>
      <c r="J24" s="32" t="s">
        <v>118</v>
      </c>
      <c r="K24" s="32"/>
      <c r="L24" s="32"/>
      <c r="M24" s="39"/>
    </row>
    <row r="25" spans="1:14" x14ac:dyDescent="0.25">
      <c r="A25" s="38" t="str">
        <f>"Kapazität mit Rohr " &amp; B22</f>
        <v>Kapazität mit Rohr DN-600</v>
      </c>
      <c r="B25" s="79">
        <f>'Pipeline Auslegung'!B50</f>
        <v>340213.24107231892</v>
      </c>
      <c r="C25" s="32" t="s">
        <v>1</v>
      </c>
      <c r="D25" s="32"/>
      <c r="E25" s="32"/>
      <c r="F25" s="41"/>
      <c r="G25" s="29"/>
      <c r="H25" s="38" t="str">
        <f>"Geschätzte Verlegungskosten der Pipeline "&amp;I11</f>
        <v>Geschätzte Verlegungskosten der Pipeline DN-300</v>
      </c>
      <c r="I25" s="66">
        <f>I20*I13</f>
        <v>1740</v>
      </c>
      <c r="J25" s="32" t="s">
        <v>193</v>
      </c>
      <c r="K25" s="32"/>
      <c r="L25" s="32"/>
      <c r="M25" s="39"/>
    </row>
    <row r="26" spans="1:14" x14ac:dyDescent="0.25">
      <c r="A26" s="38" t="s">
        <v>190</v>
      </c>
      <c r="B26" s="66">
        <f>'Pipeline Auslegung'!B52</f>
        <v>1.1340441369077296</v>
      </c>
      <c r="C26" s="32"/>
      <c r="D26" s="32"/>
      <c r="E26" s="32"/>
      <c r="F26" s="41"/>
      <c r="G26" s="29"/>
      <c r="H26" s="38"/>
      <c r="I26" s="32"/>
      <c r="J26" s="32"/>
      <c r="K26" s="32"/>
      <c r="L26" s="32"/>
      <c r="M26" s="39"/>
    </row>
    <row r="27" spans="1:14" ht="14.45" customHeight="1" x14ac:dyDescent="0.25">
      <c r="A27" s="38" t="s">
        <v>117</v>
      </c>
      <c r="B27" s="66">
        <f>'Pipeline Auslegung'!B62</f>
        <v>0.23193247901138911</v>
      </c>
      <c r="C27" s="32" t="s">
        <v>15</v>
      </c>
      <c r="D27" s="32"/>
      <c r="E27" s="32"/>
      <c r="F27" s="39"/>
      <c r="G27" s="29"/>
      <c r="H27" s="122" t="s">
        <v>164</v>
      </c>
      <c r="I27" s="123"/>
      <c r="J27" s="123"/>
      <c r="K27" s="123"/>
      <c r="L27" s="123"/>
      <c r="M27" s="124"/>
    </row>
    <row r="28" spans="1:14" x14ac:dyDescent="0.25">
      <c r="A28" s="38" t="s">
        <v>163</v>
      </c>
      <c r="B28" s="66">
        <f>'Pipeline Auslegung'!B63</f>
        <v>3.8655413168564854</v>
      </c>
      <c r="C28" s="32" t="s">
        <v>118</v>
      </c>
      <c r="D28" s="32"/>
      <c r="E28" s="32"/>
      <c r="F28" s="39"/>
      <c r="G28" s="29"/>
      <c r="H28" s="58"/>
      <c r="I28" s="59"/>
      <c r="J28" s="59"/>
      <c r="K28" s="59"/>
      <c r="L28" s="59"/>
      <c r="M28" s="60"/>
    </row>
    <row r="29" spans="1:14" x14ac:dyDescent="0.25">
      <c r="A29" s="38" t="str">
        <f>"Geschätzte Verlegungskosten der Pipeline "&amp;B19</f>
        <v>Geschätzte Verlegungskosten der Pipeline DN-600</v>
      </c>
      <c r="B29" s="103">
        <f>B24*B15</f>
        <v>2260</v>
      </c>
      <c r="C29" s="32" t="s">
        <v>193</v>
      </c>
      <c r="D29" s="32"/>
      <c r="E29" s="32"/>
      <c r="F29" s="39"/>
      <c r="G29" s="29"/>
      <c r="H29" s="125" t="str">
        <f>IF(I10&gt;100,"Betriebsdruck überschreitet den Grenzwert, bitte auf max. 100 bar setzen",IF(I22&gt;1,"Mit der Pipeline "&amp;I11&amp;" und einem Betriebsdruck von "&amp;I10&amp;" bar kann der Bedarf i.H.v. "&amp;B11&amp;" t/a gedeckt werden.","Bitte wählen Sie eine größere Pipeline aus oder erhöhen Sie den Betriebsdruck."))</f>
        <v>Mit der Pipeline DN-300 und einem Betriebsdruck von 70 bar kann der Bedarf i.H.v. 300000 t/a gedeckt werden.</v>
      </c>
      <c r="I29" s="126"/>
      <c r="J29" s="126"/>
      <c r="K29" s="126"/>
      <c r="L29" s="126"/>
      <c r="M29" s="127"/>
    </row>
    <row r="30" spans="1:14" ht="16.5" customHeight="1" x14ac:dyDescent="0.25">
      <c r="A30" s="38"/>
      <c r="B30" s="32"/>
      <c r="C30" s="32"/>
      <c r="D30" s="32"/>
      <c r="E30" s="32"/>
      <c r="F30" s="39"/>
      <c r="G30" s="29"/>
      <c r="H30" s="128" t="str">
        <f>IF(I24&gt;100,"Der Druckabfall der Pipeline überschreitet den Grenzwert. Es wird empfohlen eine größere Pipeline auszuwählen",IF(I24&lt;100,"Der Druckabfall der ausgewählten Pipeline "&amp;I11&amp;" beträgt "&amp;ROUNDUP(I23,2)&amp;" bar.",""))</f>
        <v>Der Druckabfall der ausgewählten Pipeline DN-300 beträgt 1,57 bar.</v>
      </c>
      <c r="I30" s="129"/>
      <c r="J30" s="129"/>
      <c r="K30" s="129"/>
      <c r="L30" s="129"/>
      <c r="M30" s="130"/>
    </row>
    <row r="31" spans="1:14" x14ac:dyDescent="0.25">
      <c r="A31" s="122" t="s">
        <v>164</v>
      </c>
      <c r="B31" s="123"/>
      <c r="C31" s="123"/>
      <c r="D31" s="123"/>
      <c r="E31" s="123"/>
      <c r="F31" s="124"/>
      <c r="G31" s="29"/>
      <c r="H31" s="128" t="str">
        <f>IF(I18="Fehler","Bitte wählen Sie eine Stahlsorte mit einer höheren Streckgrenze aus","")</f>
        <v/>
      </c>
      <c r="I31" s="129"/>
      <c r="J31" s="129"/>
      <c r="K31" s="129"/>
      <c r="L31" s="129"/>
      <c r="M31" s="130"/>
    </row>
    <row r="32" spans="1:14" ht="15.75" thickBot="1" x14ac:dyDescent="0.3">
      <c r="A32" s="58"/>
      <c r="B32" s="59" t="s">
        <v>227</v>
      </c>
      <c r="C32" s="59"/>
      <c r="D32" s="59"/>
      <c r="E32" s="59"/>
      <c r="F32" s="60"/>
      <c r="H32" s="55"/>
      <c r="I32" s="56"/>
      <c r="J32" s="56"/>
      <c r="K32" s="56"/>
      <c r="L32" s="56"/>
      <c r="M32" s="57"/>
    </row>
    <row r="33" spans="1:7" ht="14.1" customHeight="1" thickBot="1" x14ac:dyDescent="0.3">
      <c r="A33" s="113" t="str">
        <f>IF(B23=0,"",IF(B26&gt;100,"Die kleinste Pipelinegröße ist die DN-100, diese ist jedoch bei dem angegeben Betriebsdruck von "&amp;B10&amp;" bar überdimensioniert.",IF(AND(B26&gt;1,B26&lt;100),"Die empfohlende Pipeline "&amp;B22&amp;" mit Außendurchmesser "&amp;VLOOKUP(B22,Rohrdatenbank!B15:C30,2,FALSE)&amp;" mm deckt den H2 Bedarf i.H.v. "&amp;B11&amp;" t/a ab.",)))</f>
        <v>Die empfohlende Pipeline DN-600 mit Außendurchmesser 610 mm deckt den H2 Bedarf i.H.v. 300000 t/a ab.</v>
      </c>
      <c r="B33" s="114"/>
      <c r="C33" s="114"/>
      <c r="D33" s="114"/>
      <c r="E33" s="114"/>
      <c r="F33" s="115"/>
      <c r="G33" s="29"/>
    </row>
    <row r="34" spans="1:7" ht="15.75" thickBot="1" x14ac:dyDescent="0.3">
      <c r="A34" s="104" t="str">
        <f>IF(OR(B10&gt;100,A35="Bitte wählen Sie eine Stahlsorte mit einer höheren Festigkeit aus"),"",IF(A35="Keine der hinterlegten Pipelines kann den Wasserstoffbedarf bei dem Betriebsdruck von "&amp;B10&amp;" bar abdecken, bitte die Rohrdatenbank bearbeiten, die Kapazität reduzieren oder Druck anpassen","Druckverlust kann nicht berechnet werden",IF(A35&lt;&gt;"Keine der hinterlegten Pipelines kann den Wasserstoffbedarf abdecken, bitte Rohrdatenbank bearbeiten.","Der Druckabfall bei der ausgewählten Pipeline "&amp;B19&amp;" beträgt "&amp;ROUNDUP(B27,2)&amp;" bar.","")))</f>
        <v>Der Druckabfall bei der ausgewählten Pipeline DN-600 beträgt 0,24 bar.</v>
      </c>
      <c r="B34" s="105"/>
      <c r="C34" s="105"/>
      <c r="D34" s="105"/>
      <c r="E34" s="105"/>
      <c r="F34" s="106"/>
    </row>
    <row r="35" spans="1:7" x14ac:dyDescent="0.25">
      <c r="A35" s="104" t="str">
        <f>IF(B18&gt;1.2,"Keine der hinterlegten Pipelines kann den Wasserstoffbedarf bei dem Betriebsdruck von "&amp;B10&amp;" bar abdecken, bitte die Rohrdatenbank bearbeiten, die Kapazität reduzieren oder Druck anpassen",IF(B10&gt;100,"Bitte reduzieren Sie den Betriebsdruck. (Max. Betriebsdruck Pipeline =  100 bar)",IF(OR(B23=0,B23&lt;B20),"Bitte wählen Sie eine Stahlsorte mit einer höheren Festigkeit aus",IF(B22&lt;&gt;B19,"Aufgrund der hohen Wandstärke wurde die nächstgrößrere Pipeline verwendet, als die analytisch ausgelegte",""))))</f>
        <v/>
      </c>
      <c r="B35" s="105"/>
      <c r="C35" s="105"/>
      <c r="D35" s="105"/>
      <c r="E35" s="105"/>
      <c r="F35" s="106"/>
    </row>
    <row r="36" spans="1:7" ht="15.75" thickBot="1" x14ac:dyDescent="0.3">
      <c r="A36" s="55"/>
      <c r="B36" s="56"/>
      <c r="C36" s="56"/>
      <c r="D36" s="56"/>
      <c r="E36" s="56"/>
      <c r="F36" s="57"/>
    </row>
    <row r="37" spans="1:7" x14ac:dyDescent="0.25">
      <c r="A37" s="30"/>
      <c r="B37" s="30"/>
      <c r="C37" s="30"/>
      <c r="D37" s="30"/>
      <c r="E37" s="30"/>
      <c r="F37" s="30"/>
    </row>
  </sheetData>
  <sheetProtection algorithmName="SHA-512" hashValue="py11Xalni2y/FqDRfwowNhqo+snwuwLztxgNQyCyYYHRn0Phy6IIITjmi/YumBRe8/x4pCfFHcG/KwjfG3uHUw==" saltValue="i2NKOUXztAFgpKxC6PGbnQ==" spinCount="100000" sheet="1"/>
  <mergeCells count="15">
    <mergeCell ref="A35:F35"/>
    <mergeCell ref="A1:M1"/>
    <mergeCell ref="H8:M8"/>
    <mergeCell ref="A34:F34"/>
    <mergeCell ref="A33:F33"/>
    <mergeCell ref="A8:F8"/>
    <mergeCell ref="A17:F17"/>
    <mergeCell ref="H15:M15"/>
    <mergeCell ref="A3:F3"/>
    <mergeCell ref="H3:M3"/>
    <mergeCell ref="A31:F31"/>
    <mergeCell ref="H27:M27"/>
    <mergeCell ref="H29:M29"/>
    <mergeCell ref="H30:M30"/>
    <mergeCell ref="H31:M31"/>
  </mergeCells>
  <conditionalFormatting sqref="B10">
    <cfRule type="cellIs" dxfId="18" priority="4" operator="greaterThan">
      <formula>100</formula>
    </cfRule>
  </conditionalFormatting>
  <conditionalFormatting sqref="B23">
    <cfRule type="cellIs" dxfId="17" priority="1" operator="equal">
      <formula>0</formula>
    </cfRule>
  </conditionalFormatting>
  <conditionalFormatting sqref="I10">
    <cfRule type="cellIs" dxfId="16" priority="3" operator="greaterThan">
      <formula>100</formula>
    </cfRule>
  </conditionalFormatting>
  <conditionalFormatting sqref="I21">
    <cfRule type="cellIs" dxfId="15" priority="7" operator="lessThan">
      <formula>$B$11</formula>
    </cfRule>
  </conditionalFormatting>
  <conditionalFormatting sqref="I22">
    <cfRule type="cellIs" dxfId="14" priority="6" operator="lessThan">
      <formula>1</formula>
    </cfRule>
  </conditionalFormatting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4175AF-6913-4526-A37A-51A0F96865BE}">
          <x14:formula1>
            <xm:f>Rohrdatenbank!$B$3:$B$9</xm:f>
          </x14:formula1>
          <xm:sqref>I12 B13</xm:sqref>
        </x14:dataValidation>
        <x14:dataValidation type="list" allowBlank="1" showInputMessage="1" showErrorMessage="1" xr:uid="{ADFC19FF-3238-478F-85C6-C9604C7AEA8F}">
          <x14:formula1>
            <xm:f>Rohrdatenbank!$B$15:$B$30</xm:f>
          </x14:formula1>
          <xm:sqref>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CDEEA-5B68-43BD-A839-3A397CF68241}">
  <dimension ref="A1:P65"/>
  <sheetViews>
    <sheetView topLeftCell="A6" zoomScaleNormal="100" workbookViewId="0">
      <selection activeCell="F14" sqref="F14"/>
    </sheetView>
  </sheetViews>
  <sheetFormatPr baseColWidth="10" defaultRowHeight="15" x14ac:dyDescent="0.25"/>
  <cols>
    <col min="1" max="1" width="26.85546875" customWidth="1"/>
    <col min="2" max="2" width="13.5703125" customWidth="1"/>
    <col min="4" max="4" width="12" bestFit="1" customWidth="1"/>
    <col min="8" max="8" width="31.85546875" customWidth="1"/>
    <col min="9" max="9" width="8.28515625" customWidth="1"/>
    <col min="11" max="11" width="16.28515625" customWidth="1"/>
  </cols>
  <sheetData>
    <row r="1" spans="1:16" x14ac:dyDescent="0.25">
      <c r="A1" s="136" t="s">
        <v>100</v>
      </c>
      <c r="B1" s="136"/>
      <c r="C1" s="136"/>
      <c r="G1" s="137" t="s">
        <v>91</v>
      </c>
      <c r="H1" s="138"/>
      <c r="I1" s="139"/>
      <c r="L1" s="137" t="s">
        <v>87</v>
      </c>
      <c r="M1" s="138"/>
      <c r="N1" s="139"/>
    </row>
    <row r="2" spans="1:16" x14ac:dyDescent="0.25">
      <c r="A2" t="s">
        <v>101</v>
      </c>
      <c r="B2" t="s">
        <v>102</v>
      </c>
      <c r="G2" s="4" t="s">
        <v>92</v>
      </c>
      <c r="H2" t="s">
        <v>2</v>
      </c>
      <c r="I2" s="5" t="s">
        <v>93</v>
      </c>
      <c r="L2" s="4" t="s">
        <v>92</v>
      </c>
      <c r="M2" t="s">
        <v>2</v>
      </c>
      <c r="N2" s="5" t="s">
        <v>93</v>
      </c>
    </row>
    <row r="3" spans="1:16" x14ac:dyDescent="0.25">
      <c r="A3" s="14"/>
      <c r="B3" t="s">
        <v>103</v>
      </c>
      <c r="G3" s="4" t="s">
        <v>14</v>
      </c>
      <c r="H3">
        <f>Übersicht!B10</f>
        <v>20</v>
      </c>
      <c r="I3" s="5" t="s">
        <v>15</v>
      </c>
      <c r="L3" s="4" t="s">
        <v>88</v>
      </c>
      <c r="M3">
        <f>1*2</f>
        <v>2</v>
      </c>
      <c r="N3" s="5" t="s">
        <v>10</v>
      </c>
    </row>
    <row r="4" spans="1:16" ht="15.75" thickBot="1" x14ac:dyDescent="0.3">
      <c r="A4" s="9" t="s">
        <v>105</v>
      </c>
      <c r="B4" t="s">
        <v>104</v>
      </c>
      <c r="G4" s="6" t="s">
        <v>16</v>
      </c>
      <c r="H4" s="7">
        <v>300</v>
      </c>
      <c r="I4" s="8" t="s">
        <v>17</v>
      </c>
      <c r="L4" s="4" t="s">
        <v>11</v>
      </c>
      <c r="M4">
        <v>8.3142999999999994</v>
      </c>
      <c r="N4" s="5" t="s">
        <v>89</v>
      </c>
    </row>
    <row r="5" spans="1:16" x14ac:dyDescent="0.25">
      <c r="A5" s="10"/>
      <c r="B5" t="s">
        <v>108</v>
      </c>
      <c r="L5" s="4" t="s">
        <v>12</v>
      </c>
      <c r="M5" s="14">
        <f>$M$4/$M$3</f>
        <v>4.1571499999999997</v>
      </c>
      <c r="N5" s="5" t="s">
        <v>13</v>
      </c>
    </row>
    <row r="6" spans="1:16" x14ac:dyDescent="0.25">
      <c r="A6" s="11"/>
      <c r="B6" t="s">
        <v>109</v>
      </c>
      <c r="L6" s="4" t="s">
        <v>90</v>
      </c>
      <c r="M6" s="14">
        <f>($H$3*10^5)/($M$5*$H$4)/1000*$M$3</f>
        <v>3.2073255315139781</v>
      </c>
      <c r="N6" s="5" t="s">
        <v>18</v>
      </c>
      <c r="O6" s="81"/>
      <c r="P6" s="81"/>
    </row>
    <row r="7" spans="1:16" ht="15.75" thickBot="1" x14ac:dyDescent="0.3">
      <c r="L7" s="4" t="s">
        <v>63</v>
      </c>
      <c r="M7">
        <v>14360</v>
      </c>
      <c r="N7" s="5" t="s">
        <v>66</v>
      </c>
      <c r="O7" s="81" t="s">
        <v>65</v>
      </c>
      <c r="P7" s="82" t="s">
        <v>67</v>
      </c>
    </row>
    <row r="8" spans="1:16" x14ac:dyDescent="0.25">
      <c r="A8" s="137" t="s">
        <v>116</v>
      </c>
      <c r="B8" s="138"/>
      <c r="C8" s="138"/>
      <c r="D8" s="138"/>
      <c r="E8" s="138"/>
      <c r="F8" s="138"/>
      <c r="G8" s="138"/>
      <c r="H8" s="139"/>
      <c r="L8" s="4" t="s">
        <v>64</v>
      </c>
      <c r="M8">
        <v>10100</v>
      </c>
      <c r="N8" s="5" t="s">
        <v>66</v>
      </c>
      <c r="O8" s="81" t="s">
        <v>65</v>
      </c>
      <c r="P8" s="82" t="s">
        <v>67</v>
      </c>
    </row>
    <row r="9" spans="1:16" x14ac:dyDescent="0.25">
      <c r="A9" s="4" t="s">
        <v>0</v>
      </c>
      <c r="B9" s="22">
        <f>Übersicht!B11</f>
        <v>300000</v>
      </c>
      <c r="C9" t="s">
        <v>1</v>
      </c>
      <c r="H9" s="5"/>
      <c r="L9" s="4" t="s">
        <v>62</v>
      </c>
      <c r="M9">
        <f>M7/M8</f>
        <v>1.4217821782178217</v>
      </c>
      <c r="N9" s="5" t="s">
        <v>60</v>
      </c>
      <c r="O9" s="81"/>
      <c r="P9" s="81"/>
    </row>
    <row r="10" spans="1:16" ht="15.75" thickBot="1" x14ac:dyDescent="0.3">
      <c r="A10" s="4"/>
      <c r="H10" s="5"/>
      <c r="L10" s="4" t="s">
        <v>52</v>
      </c>
      <c r="M10">
        <v>9.1729000000000003</v>
      </c>
      <c r="N10" s="5" t="s">
        <v>53</v>
      </c>
      <c r="O10" s="81" t="s">
        <v>54</v>
      </c>
      <c r="P10" s="82" t="s">
        <v>55</v>
      </c>
    </row>
    <row r="11" spans="1:16" ht="15.75" thickBot="1" x14ac:dyDescent="0.3">
      <c r="A11" s="132" t="s">
        <v>7</v>
      </c>
      <c r="B11" s="133"/>
      <c r="C11" s="134"/>
      <c r="E11" s="132" t="s">
        <v>8</v>
      </c>
      <c r="F11" s="133"/>
      <c r="G11" s="134"/>
      <c r="H11" s="83" t="s">
        <v>110</v>
      </c>
      <c r="L11" s="6" t="s">
        <v>56</v>
      </c>
      <c r="M11" s="15">
        <f>M10/M6</f>
        <v>2.859984092625</v>
      </c>
      <c r="N11" s="8" t="s">
        <v>57</v>
      </c>
      <c r="O11" s="81"/>
      <c r="P11" s="81"/>
    </row>
    <row r="12" spans="1:16" x14ac:dyDescent="0.25">
      <c r="A12" s="4" t="s">
        <v>3</v>
      </c>
      <c r="B12" s="14">
        <f>B9/8760</f>
        <v>34.246575342465754</v>
      </c>
      <c r="C12" s="5" t="s">
        <v>4</v>
      </c>
      <c r="D12" t="s">
        <v>9</v>
      </c>
      <c r="E12" s="4" t="s">
        <v>94</v>
      </c>
      <c r="F12" s="14">
        <f>B12*10^3/$M$6</f>
        <v>10677.611301369861</v>
      </c>
      <c r="G12" s="5" t="s">
        <v>19</v>
      </c>
      <c r="H12" s="5"/>
      <c r="O12" s="81"/>
      <c r="P12" s="81"/>
    </row>
    <row r="13" spans="1:16" x14ac:dyDescent="0.25">
      <c r="A13" s="4" t="s">
        <v>5</v>
      </c>
      <c r="B13" s="14">
        <f>B12/3600*1000</f>
        <v>9.512937595129376</v>
      </c>
      <c r="C13" s="5" t="s">
        <v>6</v>
      </c>
      <c r="E13" s="4" t="s">
        <v>94</v>
      </c>
      <c r="F13" s="14">
        <f>F12/60</f>
        <v>177.96018835616437</v>
      </c>
      <c r="G13" s="5" t="s">
        <v>95</v>
      </c>
      <c r="H13" s="5"/>
    </row>
    <row r="14" spans="1:16" x14ac:dyDescent="0.25">
      <c r="A14" s="4"/>
      <c r="C14" s="5"/>
      <c r="E14" s="4" t="s">
        <v>94</v>
      </c>
      <c r="F14" s="14">
        <f>F13/60</f>
        <v>2.966003139269406</v>
      </c>
      <c r="G14" s="5" t="s">
        <v>20</v>
      </c>
      <c r="H14" s="5"/>
    </row>
    <row r="15" spans="1:16" ht="15.75" thickBot="1" x14ac:dyDescent="0.3">
      <c r="A15" s="6"/>
      <c r="B15" s="7"/>
      <c r="C15" s="8"/>
      <c r="E15" s="6"/>
      <c r="F15" s="7"/>
      <c r="G15" s="8"/>
      <c r="H15" s="5"/>
    </row>
    <row r="16" spans="1:16" ht="15.75" thickBot="1" x14ac:dyDescent="0.3">
      <c r="A16" s="6"/>
      <c r="B16" s="7"/>
      <c r="C16" s="7"/>
      <c r="D16" s="7"/>
      <c r="E16" s="7"/>
      <c r="F16" s="7"/>
      <c r="G16" s="7"/>
      <c r="H16" s="8"/>
    </row>
    <row r="17" spans="1:12" ht="15.75" thickBot="1" x14ac:dyDescent="0.3">
      <c r="A17" s="132" t="s">
        <v>30</v>
      </c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4"/>
    </row>
    <row r="18" spans="1:12" x14ac:dyDescent="0.25">
      <c r="A18" s="4" t="s">
        <v>21</v>
      </c>
      <c r="G18" s="136" t="s">
        <v>112</v>
      </c>
      <c r="H18" s="136"/>
      <c r="I18" s="2"/>
      <c r="L18" s="5"/>
    </row>
    <row r="19" spans="1:12" x14ac:dyDescent="0.25">
      <c r="A19" s="4" t="s">
        <v>22</v>
      </c>
      <c r="B19">
        <v>0.47199999999999998</v>
      </c>
      <c r="C19" t="s">
        <v>24</v>
      </c>
      <c r="D19" t="s">
        <v>25</v>
      </c>
      <c r="E19" s="81" t="s">
        <v>115</v>
      </c>
      <c r="G19" s="9" t="s">
        <v>68</v>
      </c>
      <c r="H19" s="9">
        <v>20</v>
      </c>
      <c r="I19" s="9" t="s">
        <v>15</v>
      </c>
      <c r="J19" t="s">
        <v>113</v>
      </c>
      <c r="K19" s="19" t="s">
        <v>114</v>
      </c>
      <c r="L19" s="5"/>
    </row>
    <row r="20" spans="1:12" x14ac:dyDescent="0.25">
      <c r="A20" s="4" t="s">
        <v>23</v>
      </c>
      <c r="B20">
        <v>0.47199999999999998</v>
      </c>
      <c r="C20" t="s">
        <v>24</v>
      </c>
      <c r="D20" t="s">
        <v>26</v>
      </c>
      <c r="G20" t="s">
        <v>69</v>
      </c>
      <c r="H20">
        <f>H3</f>
        <v>20</v>
      </c>
      <c r="I20" t="s">
        <v>15</v>
      </c>
      <c r="L20" s="5"/>
    </row>
    <row r="21" spans="1:12" ht="15.75" thickBot="1" x14ac:dyDescent="0.3">
      <c r="A21" s="4"/>
      <c r="G21" t="s">
        <v>70</v>
      </c>
      <c r="H21">
        <f>H22/(H20/H19)^((M9-1)/M9)</f>
        <v>300</v>
      </c>
      <c r="I21" t="s">
        <v>71</v>
      </c>
      <c r="L21" s="5"/>
    </row>
    <row r="22" spans="1:12" ht="15.75" thickBot="1" x14ac:dyDescent="0.3">
      <c r="A22" s="4" t="s">
        <v>27</v>
      </c>
      <c r="B22" s="18" t="str">
        <f>IF($F$14&gt;$B$19,D19,D20)</f>
        <v>Zentrifugalverdichter</v>
      </c>
      <c r="G22" t="s">
        <v>72</v>
      </c>
      <c r="H22">
        <f>H4</f>
        <v>300</v>
      </c>
      <c r="I22" t="s">
        <v>71</v>
      </c>
      <c r="L22" s="5"/>
    </row>
    <row r="23" spans="1:12" x14ac:dyDescent="0.25">
      <c r="A23" s="4" t="s">
        <v>73</v>
      </c>
      <c r="L23" s="5"/>
    </row>
    <row r="24" spans="1:12" x14ac:dyDescent="0.25">
      <c r="A24" s="4"/>
      <c r="L24" s="5"/>
    </row>
    <row r="25" spans="1:12" x14ac:dyDescent="0.25">
      <c r="A25" s="4" t="s">
        <v>73</v>
      </c>
      <c r="B25">
        <f>B13*M7*(H22-H21)/1000</f>
        <v>0</v>
      </c>
      <c r="C25" t="s">
        <v>74</v>
      </c>
      <c r="G25" s="136"/>
      <c r="H25" s="136"/>
      <c r="L25" s="5"/>
    </row>
    <row r="26" spans="1:12" x14ac:dyDescent="0.25">
      <c r="A26" s="4"/>
      <c r="L26" s="5"/>
    </row>
    <row r="27" spans="1:12" x14ac:dyDescent="0.25">
      <c r="A27" s="4" t="s">
        <v>75</v>
      </c>
      <c r="C27" t="s">
        <v>76</v>
      </c>
      <c r="L27" s="5"/>
    </row>
    <row r="28" spans="1:12" x14ac:dyDescent="0.25">
      <c r="A28" s="4" t="s">
        <v>73</v>
      </c>
      <c r="B28" s="14">
        <f>M8*(H22-H21)</f>
        <v>0</v>
      </c>
      <c r="C28" t="s">
        <v>74</v>
      </c>
      <c r="L28" s="5"/>
    </row>
    <row r="29" spans="1:12" ht="15.75" thickBot="1" x14ac:dyDescent="0.3">
      <c r="A29" s="6"/>
      <c r="B29" s="7"/>
      <c r="C29" s="7"/>
      <c r="D29" s="7"/>
      <c r="E29" s="7"/>
      <c r="F29" s="7"/>
      <c r="G29" s="7"/>
      <c r="H29" s="7"/>
      <c r="I29" s="7"/>
      <c r="J29" s="7"/>
      <c r="K29" s="7"/>
      <c r="L29" s="8"/>
    </row>
    <row r="30" spans="1:12" ht="15.75" thickBot="1" x14ac:dyDescent="0.3">
      <c r="A30" s="132" t="s">
        <v>31</v>
      </c>
      <c r="B30" s="133"/>
      <c r="C30" s="133"/>
      <c r="D30" s="133"/>
      <c r="E30" s="133"/>
      <c r="F30" s="133"/>
      <c r="G30" s="134"/>
    </row>
    <row r="31" spans="1:12" x14ac:dyDescent="0.25">
      <c r="A31" s="95" t="s">
        <v>28</v>
      </c>
      <c r="B31" s="96">
        <v>12</v>
      </c>
      <c r="C31" s="96" t="s">
        <v>29</v>
      </c>
      <c r="D31" s="100" t="s">
        <v>54</v>
      </c>
      <c r="E31" s="98" t="s">
        <v>111</v>
      </c>
      <c r="F31" s="97"/>
      <c r="G31" s="99"/>
    </row>
    <row r="32" spans="1:12" x14ac:dyDescent="0.25">
      <c r="A32" s="13" t="s">
        <v>187</v>
      </c>
      <c r="B32" s="9">
        <f>1.1+Übersicht!B14/100</f>
        <v>1.1000000000000001</v>
      </c>
      <c r="C32" s="9"/>
      <c r="E32" s="17"/>
      <c r="G32" s="5"/>
    </row>
    <row r="33" spans="1:7" x14ac:dyDescent="0.25">
      <c r="A33" s="4" t="s">
        <v>32</v>
      </c>
      <c r="B33" t="s">
        <v>33</v>
      </c>
      <c r="G33" s="5"/>
    </row>
    <row r="34" spans="1:7" x14ac:dyDescent="0.25">
      <c r="A34" s="4" t="s">
        <v>36</v>
      </c>
      <c r="B34" s="25">
        <f>B32*F14/B31</f>
        <v>0.27188362109969555</v>
      </c>
      <c r="C34" t="s">
        <v>37</v>
      </c>
      <c r="D34">
        <f>B34*100^2</f>
        <v>2718.8362109969553</v>
      </c>
      <c r="E34" t="s">
        <v>38</v>
      </c>
      <c r="G34" s="5"/>
    </row>
    <row r="35" spans="1:7" x14ac:dyDescent="0.25">
      <c r="A35" s="4" t="s">
        <v>35</v>
      </c>
      <c r="B35" s="24">
        <f>SQRT((B32*B13*4)/(B31*M6*PI()))</f>
        <v>0.58836466409015753</v>
      </c>
      <c r="C35" t="s">
        <v>34</v>
      </c>
      <c r="D35" s="101"/>
      <c r="G35" s="5"/>
    </row>
    <row r="36" spans="1:7" x14ac:dyDescent="0.25">
      <c r="A36" s="4" t="s">
        <v>185</v>
      </c>
      <c r="B36" s="14" t="str">
        <f>Übersicht!B13</f>
        <v>L245NB/L245MB</v>
      </c>
      <c r="G36" s="5"/>
    </row>
    <row r="37" spans="1:7" x14ac:dyDescent="0.25">
      <c r="A37" s="4" t="s">
        <v>184</v>
      </c>
      <c r="B37" s="24">
        <f>((H3*B42*1000)/(20*VLOOKUP(B36,Rohrdatenbank!$B$3:$E$9,3,FALSE)*VLOOKUP(B36,Rohrdatenbank!$B$3:$E$9,4,FALSE)))</f>
        <v>3.71611331099604</v>
      </c>
      <c r="G37" s="5"/>
    </row>
    <row r="38" spans="1:7" x14ac:dyDescent="0.25">
      <c r="A38" s="135" t="s">
        <v>43</v>
      </c>
      <c r="B38" s="136"/>
      <c r="C38" t="s">
        <v>41</v>
      </c>
      <c r="G38" s="5"/>
    </row>
    <row r="39" spans="1:7" x14ac:dyDescent="0.25">
      <c r="A39" s="4" t="s">
        <v>229</v>
      </c>
      <c r="B39" s="88" t="str">
        <f>IF(B35&gt;0.5,"DN-"&amp;ROUNDUP(B35,1)*1000,IF(AND(B35&lt;0.5,B35&gt;0.05),"DN-"&amp;(ROUNDUP(B35/0.05,0)*0.05)*1000,"DN-"&amp;(ROUNDUP(B35/0.1,0)*0.1)*1000))</f>
        <v>DN-600</v>
      </c>
      <c r="G39" s="5"/>
    </row>
    <row r="40" spans="1:7" ht="90" x14ac:dyDescent="0.25">
      <c r="A40" s="94" t="s">
        <v>241</v>
      </c>
      <c r="B40" s="93" t="str">
        <f>IF(B47&lt;B35,Rohrdatenbank!O45,"")</f>
        <v/>
      </c>
      <c r="G40" s="5"/>
    </row>
    <row r="41" spans="1:7" x14ac:dyDescent="0.25">
      <c r="A41" s="4" t="s">
        <v>230</v>
      </c>
      <c r="B41" s="88" t="str">
        <f>IF(B40="",B39,B40)</f>
        <v>DN-600</v>
      </c>
      <c r="G41" s="5"/>
    </row>
    <row r="42" spans="1:7" x14ac:dyDescent="0.25">
      <c r="A42" s="4" t="s">
        <v>226</v>
      </c>
      <c r="B42">
        <f>VLOOKUP(B39,Rohrdatenbank!B15:C30,2,FALSE)/1000</f>
        <v>0.61</v>
      </c>
      <c r="C42">
        <f>IF(B35&gt;0.5,ROUNDUP(B35,1),IF(AND(B35&lt;0.5,B35&gt;0.05),(ROUNDUP(B35/0.05,0)*0.05)*1000,(ROUNDUP(B35/0.1,0)*0.1)))</f>
        <v>0.6</v>
      </c>
      <c r="G42" s="5"/>
    </row>
    <row r="43" spans="1:7" x14ac:dyDescent="0.25">
      <c r="A43" s="4" t="s">
        <v>221</v>
      </c>
      <c r="B43">
        <f>VLOOKUP(B36,Rohrdatenbank!$B$3:$D$9,3,FALSE)</f>
        <v>245</v>
      </c>
      <c r="C43" t="s">
        <v>192</v>
      </c>
      <c r="G43" s="5"/>
    </row>
    <row r="44" spans="1:7" x14ac:dyDescent="0.25">
      <c r="A44" s="4" t="str">
        <f>"Außendurchmesser Rohr "&amp;B39</f>
        <v>Außendurchmesser Rohr DN-600</v>
      </c>
      <c r="B44">
        <f>VLOOKUP(B39,Rohrdatenbank!$B$15:$C$30,2,FALSE)</f>
        <v>610</v>
      </c>
      <c r="C44" t="s">
        <v>41</v>
      </c>
      <c r="G44" s="5"/>
    </row>
    <row r="45" spans="1:7" x14ac:dyDescent="0.25">
      <c r="A45" s="4" t="s">
        <v>231</v>
      </c>
      <c r="B45">
        <f>Rohrdatenbank!E45</f>
        <v>6.3</v>
      </c>
      <c r="C45" t="s">
        <v>41</v>
      </c>
      <c r="D45" t="str">
        <f>IF(B40&lt;&gt;"",Rohrdatenbank!R45,"")</f>
        <v/>
      </c>
      <c r="G45" s="5"/>
    </row>
    <row r="46" spans="1:7" x14ac:dyDescent="0.25">
      <c r="A46" s="4" t="s">
        <v>242</v>
      </c>
      <c r="B46">
        <f>IF(D45="",B45,D45)</f>
        <v>6.3</v>
      </c>
      <c r="G46" s="5"/>
    </row>
    <row r="47" spans="1:7" x14ac:dyDescent="0.25">
      <c r="A47" s="4" t="s">
        <v>234</v>
      </c>
      <c r="B47">
        <f>B44-2*B45</f>
        <v>597.4</v>
      </c>
      <c r="G47" s="5"/>
    </row>
    <row r="48" spans="1:7" x14ac:dyDescent="0.25">
      <c r="A48" s="4" t="s">
        <v>235</v>
      </c>
      <c r="B48">
        <f>IF(B40="",B44-2*B45,VLOOKUP(B40,Rohrdatenbank!$B$15:$C$30,2,FALSE)-2*'Pipeline Auslegung'!B46)</f>
        <v>597.4</v>
      </c>
      <c r="C48" t="s">
        <v>41</v>
      </c>
      <c r="G48" s="5"/>
    </row>
    <row r="49" spans="1:7" x14ac:dyDescent="0.25">
      <c r="A49" s="4" t="s">
        <v>45</v>
      </c>
      <c r="B49" s="12">
        <f>(B48/1000)^2*(PI()/4)</f>
        <v>0.28029820584486587</v>
      </c>
      <c r="C49" t="s">
        <v>37</v>
      </c>
      <c r="G49" s="5"/>
    </row>
    <row r="50" spans="1:7" x14ac:dyDescent="0.25">
      <c r="A50" s="4" t="s">
        <v>188</v>
      </c>
      <c r="B50" s="23">
        <f>B49*B31*M6*3600*8760/1000</f>
        <v>340213.24107231892</v>
      </c>
      <c r="C50" t="s">
        <v>1</v>
      </c>
      <c r="G50" s="5"/>
    </row>
    <row r="51" spans="1:7" x14ac:dyDescent="0.25">
      <c r="A51" s="16" t="s">
        <v>44</v>
      </c>
      <c r="B51" s="12">
        <f>F14/B49</f>
        <v>10.581598730999273</v>
      </c>
      <c r="C51" t="s">
        <v>1</v>
      </c>
      <c r="G51" s="5"/>
    </row>
    <row r="52" spans="1:7" x14ac:dyDescent="0.25">
      <c r="A52" s="4" t="s">
        <v>189</v>
      </c>
      <c r="B52" s="12">
        <f>B50/B9</f>
        <v>1.1340441369077296</v>
      </c>
      <c r="C52" t="s">
        <v>60</v>
      </c>
      <c r="G52" s="5"/>
    </row>
    <row r="53" spans="1:7" x14ac:dyDescent="0.25">
      <c r="A53" s="4" t="s">
        <v>58</v>
      </c>
      <c r="B53" s="26">
        <f>4*B49/(2*PI()*B42)</f>
        <v>0.29253013114754095</v>
      </c>
      <c r="G53" s="5"/>
    </row>
    <row r="54" spans="1:7" x14ac:dyDescent="0.25">
      <c r="A54" s="4" t="s">
        <v>59</v>
      </c>
      <c r="B54" s="26">
        <f>B51*B53/M11</f>
        <v>1.0823264620639073</v>
      </c>
      <c r="G54" s="5"/>
    </row>
    <row r="55" spans="1:7" x14ac:dyDescent="0.25">
      <c r="A55" s="4" t="s">
        <v>61</v>
      </c>
      <c r="B55" t="str">
        <f>IF(B54&lt;2320,"laminare Strömung","turbulente Strlömung")</f>
        <v>laminare Strömung</v>
      </c>
      <c r="G55" s="5"/>
    </row>
    <row r="56" spans="1:7" x14ac:dyDescent="0.25">
      <c r="A56" s="4" t="s">
        <v>213</v>
      </c>
      <c r="B56">
        <f>IF(Übersicht!B10&lt;=70,VLOOKUP(Übersicht!B22,Rohrdatenbank!$B$54:$E$70,2,FALSE),IF(AND(70&lt;Übersicht!$B$10,Übersicht!$B$10&lt;=80),VLOOKUP(Übersicht!B22,Rohrdatenbank!$B$54:$E$70,3,FALSE),IF(AND(80&lt;Übersicht!B10,Übersicht!B10&lt;=100),VLOOKUP(Übersicht!B22,Rohrdatenbank!$B$54:$E$70,4,FALSE),"")))</f>
        <v>1130</v>
      </c>
      <c r="C56" s="2" t="s">
        <v>193</v>
      </c>
      <c r="E56" s="81"/>
      <c r="G56" s="5"/>
    </row>
    <row r="57" spans="1:7" x14ac:dyDescent="0.25">
      <c r="A57" s="135" t="s">
        <v>46</v>
      </c>
      <c r="B57" s="136"/>
      <c r="D57" s="81" t="s">
        <v>54</v>
      </c>
      <c r="E57" s="81" t="s">
        <v>111</v>
      </c>
      <c r="G57" s="5"/>
    </row>
    <row r="58" spans="1:7" x14ac:dyDescent="0.25">
      <c r="A58" s="131" t="s">
        <v>47</v>
      </c>
      <c r="B58" s="9">
        <v>0.01</v>
      </c>
      <c r="C58" s="9" t="s">
        <v>223</v>
      </c>
      <c r="D58">
        <f>B54/64</f>
        <v>1.6911350969748551E-2</v>
      </c>
      <c r="E58" s="80" t="s">
        <v>111</v>
      </c>
      <c r="G58" s="5"/>
    </row>
    <row r="59" spans="1:7" x14ac:dyDescent="0.25">
      <c r="A59" s="131"/>
      <c r="B59" s="9">
        <v>8.9999999999999993E-3</v>
      </c>
      <c r="C59" s="9" t="s">
        <v>224</v>
      </c>
      <c r="G59" s="5"/>
    </row>
    <row r="60" spans="1:7" x14ac:dyDescent="0.25">
      <c r="A60" s="4" t="s">
        <v>99</v>
      </c>
      <c r="B60" s="12">
        <f>M6</f>
        <v>3.2073255315139781</v>
      </c>
      <c r="C60" t="s">
        <v>18</v>
      </c>
      <c r="G60" s="5"/>
    </row>
    <row r="61" spans="1:7" x14ac:dyDescent="0.25">
      <c r="A61" s="13" t="s">
        <v>49</v>
      </c>
      <c r="B61" s="9">
        <f>Übersicht!B12</f>
        <v>6</v>
      </c>
      <c r="C61" t="s">
        <v>96</v>
      </c>
      <c r="G61" s="5"/>
    </row>
    <row r="62" spans="1:7" x14ac:dyDescent="0.25">
      <c r="A62" s="4" t="s">
        <v>48</v>
      </c>
      <c r="B62" s="26">
        <f>((MAX(B59,B58)*B61*1000*B31^2*B60)/(2*B48/1000))/10^5</f>
        <v>0.23193247901138911</v>
      </c>
      <c r="C62" s="9" t="s">
        <v>15</v>
      </c>
      <c r="G62" s="5"/>
    </row>
    <row r="63" spans="1:7" x14ac:dyDescent="0.25">
      <c r="A63" s="4" t="s">
        <v>117</v>
      </c>
      <c r="B63" s="12">
        <f>B62*10^5/(B61*1000)</f>
        <v>3.8655413168564854</v>
      </c>
      <c r="C63" t="s">
        <v>118</v>
      </c>
      <c r="G63" s="5"/>
    </row>
    <row r="64" spans="1:7" ht="15.75" thickBot="1" x14ac:dyDescent="0.3">
      <c r="A64" s="4" t="s">
        <v>119</v>
      </c>
      <c r="B64">
        <v>100</v>
      </c>
      <c r="C64" s="9" t="s">
        <v>118</v>
      </c>
      <c r="G64" s="8"/>
    </row>
    <row r="65" spans="1:7" ht="15.75" thickBot="1" x14ac:dyDescent="0.3">
      <c r="A65" s="6"/>
      <c r="B65" s="7"/>
      <c r="C65" s="7"/>
      <c r="D65" s="7"/>
      <c r="E65" s="7"/>
      <c r="F65" s="7"/>
      <c r="G65" s="8"/>
    </row>
  </sheetData>
  <sheetProtection algorithmName="SHA-512" hashValue="dRhn/mAEn0gsaenrU82OQA7vHT+9BDiUo0xjW+7IkFLfIRxnUleDv95tPCAd0eL8+5qF+XxM00Drnq1rGA7NRg==" saltValue="9zw8ZW90Iq0caVD3aotFhA==" spinCount="100000" sheet="1" selectLockedCells="1"/>
  <mergeCells count="13">
    <mergeCell ref="L1:N1"/>
    <mergeCell ref="A17:L17"/>
    <mergeCell ref="A30:G30"/>
    <mergeCell ref="A8:H8"/>
    <mergeCell ref="G1:I1"/>
    <mergeCell ref="A1:C1"/>
    <mergeCell ref="A58:A59"/>
    <mergeCell ref="A11:C11"/>
    <mergeCell ref="E11:G11"/>
    <mergeCell ref="A38:B38"/>
    <mergeCell ref="G18:H18"/>
    <mergeCell ref="G25:H25"/>
    <mergeCell ref="A57:B57"/>
  </mergeCells>
  <conditionalFormatting sqref="B47:B48">
    <cfRule type="cellIs" dxfId="13" priority="7" operator="greaterThan">
      <formula>$B$35</formula>
    </cfRule>
  </conditionalFormatting>
  <conditionalFormatting sqref="B51">
    <cfRule type="cellIs" dxfId="12" priority="6" operator="lessThan">
      <formula>$B$31</formula>
    </cfRule>
  </conditionalFormatting>
  <conditionalFormatting sqref="B55">
    <cfRule type="containsText" dxfId="11" priority="3" operator="containsText" text="turbulente Strömung">
      <formula>NOT(ISERROR(SEARCH("turbulente Strömung",B55)))</formula>
    </cfRule>
    <cfRule type="containsText" dxfId="10" priority="4" operator="containsText" text="laminare Strömung">
      <formula>NOT(ISERROR(SEARCH("laminare Strömung",B55)))</formula>
    </cfRule>
    <cfRule type="cellIs" dxfId="9" priority="5" operator="equal">
      <formula>"""laminare Strömung"""</formula>
    </cfRule>
  </conditionalFormatting>
  <conditionalFormatting sqref="B63">
    <cfRule type="cellIs" dxfId="8" priority="1" operator="greaterThan">
      <formula>$B$64</formula>
    </cfRule>
    <cfRule type="cellIs" dxfId="7" priority="2" operator="lessThan">
      <formula>$B$64</formula>
    </cfRule>
  </conditionalFormatting>
  <hyperlinks>
    <hyperlink ref="P10" r:id="rId1" xr:uid="{BD48ACD3-AB0D-4A60-B0A8-D55ABA77DB2D}"/>
    <hyperlink ref="P7" r:id="rId2" xr:uid="{4FE9FEAA-9315-43C5-B500-61A9D8B16AD3}"/>
    <hyperlink ref="P8" r:id="rId3" xr:uid="{29F6D1C1-E753-4A28-89AB-5E9036AA914A}"/>
    <hyperlink ref="E31" r:id="rId4" xr:uid="{839A7FF6-23E9-494D-B761-A2B7A5DA7CA2}"/>
    <hyperlink ref="E57" r:id="rId5" xr:uid="{CE6EFF8E-5050-4E99-8707-F928DF18F0FE}"/>
    <hyperlink ref="E58" r:id="rId6" xr:uid="{02D732A6-9A5E-420D-B264-F0656B7302A0}"/>
  </hyperlinks>
  <pageMargins left="0.7" right="0.7" top="0.78740157499999996" bottom="0.78740157499999996" header="0.3" footer="0.3"/>
  <pageSetup paperSize="9" orientation="portrait" r:id="rId7"/>
  <drawing r:id="rId8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6DF5A-6AB3-4B11-9E3F-3F100A183470}">
  <dimension ref="A1:Y70"/>
  <sheetViews>
    <sheetView workbookViewId="0">
      <selection activeCell="A36" sqref="A36:A40"/>
    </sheetView>
  </sheetViews>
  <sheetFormatPr baseColWidth="10" defaultRowHeight="15" x14ac:dyDescent="0.25"/>
  <cols>
    <col min="2" max="2" width="18.42578125" bestFit="1" customWidth="1"/>
    <col min="3" max="3" width="12.5703125" customWidth="1"/>
  </cols>
  <sheetData>
    <row r="1" spans="1:7" ht="15.75" thickBot="1" x14ac:dyDescent="0.3">
      <c r="A1" s="136"/>
      <c r="B1" s="145" t="s">
        <v>206</v>
      </c>
      <c r="C1" s="146"/>
      <c r="D1" s="146"/>
      <c r="E1" s="146"/>
      <c r="F1" s="147"/>
    </row>
    <row r="2" spans="1:7" x14ac:dyDescent="0.25">
      <c r="A2" s="136"/>
      <c r="B2" s="4" t="s">
        <v>146</v>
      </c>
      <c r="C2" t="s">
        <v>157</v>
      </c>
      <c r="D2" t="s">
        <v>158</v>
      </c>
      <c r="E2" t="s">
        <v>166</v>
      </c>
      <c r="F2" s="5" t="s">
        <v>165</v>
      </c>
    </row>
    <row r="3" spans="1:7" x14ac:dyDescent="0.25">
      <c r="A3" s="136"/>
      <c r="B3" s="4" t="s">
        <v>147</v>
      </c>
      <c r="C3" t="s">
        <v>148</v>
      </c>
      <c r="D3">
        <v>245</v>
      </c>
      <c r="E3">
        <v>0.67</v>
      </c>
      <c r="F3" s="71">
        <f>1/E3</f>
        <v>1.4925373134328357</v>
      </c>
    </row>
    <row r="4" spans="1:7" x14ac:dyDescent="0.25">
      <c r="A4" s="136"/>
      <c r="B4" s="4" t="s">
        <v>149</v>
      </c>
      <c r="C4" t="s">
        <v>150</v>
      </c>
      <c r="D4">
        <v>290</v>
      </c>
      <c r="E4">
        <v>0.67</v>
      </c>
      <c r="F4" s="71">
        <f t="shared" ref="F4:F9" si="0">1/E4</f>
        <v>1.4925373134328357</v>
      </c>
    </row>
    <row r="5" spans="1:7" x14ac:dyDescent="0.25">
      <c r="A5" s="136"/>
      <c r="B5" s="4" t="s">
        <v>151</v>
      </c>
      <c r="C5" t="s">
        <v>152</v>
      </c>
      <c r="D5">
        <v>360</v>
      </c>
      <c r="E5">
        <v>0.65</v>
      </c>
      <c r="F5" s="71">
        <f t="shared" si="0"/>
        <v>1.5384615384615383</v>
      </c>
    </row>
    <row r="6" spans="1:7" x14ac:dyDescent="0.25">
      <c r="A6" s="136"/>
      <c r="B6" s="4" t="s">
        <v>153</v>
      </c>
      <c r="C6" s="72">
        <v>18975</v>
      </c>
      <c r="D6">
        <v>415</v>
      </c>
      <c r="E6">
        <v>0.65</v>
      </c>
      <c r="F6" s="73">
        <f t="shared" si="0"/>
        <v>1.5384615384615383</v>
      </c>
    </row>
    <row r="7" spans="1:7" x14ac:dyDescent="0.25">
      <c r="A7" s="136"/>
      <c r="B7" s="4" t="s">
        <v>154</v>
      </c>
      <c r="C7" s="72">
        <v>18977</v>
      </c>
      <c r="D7">
        <v>450</v>
      </c>
      <c r="E7">
        <v>0.63</v>
      </c>
      <c r="F7" s="71">
        <f t="shared" si="0"/>
        <v>1.5873015873015872</v>
      </c>
    </row>
    <row r="8" spans="1:7" x14ac:dyDescent="0.25">
      <c r="A8" s="136"/>
      <c r="B8" s="4" t="s">
        <v>155</v>
      </c>
      <c r="C8" s="72">
        <v>18978</v>
      </c>
      <c r="D8">
        <v>485</v>
      </c>
      <c r="E8">
        <v>0.63</v>
      </c>
      <c r="F8" s="71">
        <f t="shared" si="0"/>
        <v>1.5873015873015872</v>
      </c>
    </row>
    <row r="9" spans="1:7" ht="15.75" thickBot="1" x14ac:dyDescent="0.3">
      <c r="A9" s="136"/>
      <c r="B9" s="6" t="s">
        <v>156</v>
      </c>
      <c r="C9" s="74">
        <v>18978</v>
      </c>
      <c r="D9" s="7">
        <v>555</v>
      </c>
      <c r="E9" s="7">
        <v>0.63</v>
      </c>
      <c r="F9" s="75">
        <f t="shared" si="0"/>
        <v>1.5873015873015872</v>
      </c>
    </row>
    <row r="12" spans="1:7" ht="15.75" thickBot="1" x14ac:dyDescent="0.3"/>
    <row r="13" spans="1:7" ht="15.75" thickBot="1" x14ac:dyDescent="0.3">
      <c r="B13" s="140" t="s">
        <v>207</v>
      </c>
      <c r="C13" s="141"/>
      <c r="D13" s="141"/>
      <c r="E13" s="142"/>
    </row>
    <row r="14" spans="1:7" x14ac:dyDescent="0.25">
      <c r="B14" s="4" t="s">
        <v>167</v>
      </c>
      <c r="C14" t="s">
        <v>198</v>
      </c>
      <c r="E14" s="5"/>
    </row>
    <row r="15" spans="1:7" x14ac:dyDescent="0.25">
      <c r="B15" s="4" t="s">
        <v>168</v>
      </c>
      <c r="C15">
        <v>114.3</v>
      </c>
      <c r="D15" s="12"/>
      <c r="E15" s="73"/>
      <c r="F15" s="12"/>
      <c r="G15" s="12"/>
    </row>
    <row r="16" spans="1:7" x14ac:dyDescent="0.25">
      <c r="B16" s="4" t="s">
        <v>169</v>
      </c>
      <c r="C16">
        <v>168.3</v>
      </c>
      <c r="D16" s="12"/>
      <c r="E16" s="73"/>
      <c r="F16" s="12"/>
      <c r="G16" s="12"/>
    </row>
    <row r="17" spans="2:11" x14ac:dyDescent="0.25">
      <c r="B17" s="4" t="s">
        <v>170</v>
      </c>
      <c r="C17">
        <v>219.1</v>
      </c>
      <c r="D17" s="12"/>
      <c r="E17" s="73"/>
      <c r="F17" s="12"/>
      <c r="G17" s="12"/>
    </row>
    <row r="18" spans="2:11" x14ac:dyDescent="0.25">
      <c r="B18" s="4" t="s">
        <v>171</v>
      </c>
      <c r="C18">
        <v>273</v>
      </c>
      <c r="D18" s="12"/>
      <c r="E18" s="73"/>
      <c r="F18" s="12"/>
      <c r="G18" s="12"/>
    </row>
    <row r="19" spans="2:11" x14ac:dyDescent="0.25">
      <c r="B19" s="4" t="s">
        <v>172</v>
      </c>
      <c r="C19">
        <v>323.89999999999998</v>
      </c>
      <c r="D19" s="12"/>
      <c r="E19" s="73"/>
      <c r="F19" s="12"/>
      <c r="G19" s="12"/>
    </row>
    <row r="20" spans="2:11" x14ac:dyDescent="0.25">
      <c r="B20" s="4" t="s">
        <v>173</v>
      </c>
      <c r="C20">
        <v>355.6</v>
      </c>
      <c r="D20" s="12"/>
      <c r="E20" s="73"/>
      <c r="F20" s="12"/>
      <c r="G20" s="12"/>
      <c r="K20" s="12"/>
    </row>
    <row r="21" spans="2:11" x14ac:dyDescent="0.25">
      <c r="B21" s="4" t="s">
        <v>174</v>
      </c>
      <c r="C21">
        <v>406.4</v>
      </c>
      <c r="D21" s="12"/>
      <c r="E21" s="73"/>
      <c r="F21" s="12"/>
      <c r="G21" s="12"/>
      <c r="K21" s="12"/>
    </row>
    <row r="22" spans="2:11" x14ac:dyDescent="0.25">
      <c r="B22" s="4" t="s">
        <v>175</v>
      </c>
      <c r="C22">
        <v>457.2</v>
      </c>
      <c r="D22" s="12"/>
      <c r="E22" s="73"/>
      <c r="F22" s="12"/>
      <c r="G22" s="12"/>
      <c r="K22" s="12"/>
    </row>
    <row r="23" spans="2:11" x14ac:dyDescent="0.25">
      <c r="B23" s="4" t="s">
        <v>176</v>
      </c>
      <c r="C23">
        <v>508</v>
      </c>
      <c r="D23" s="12"/>
      <c r="E23" s="73"/>
      <c r="F23" s="12"/>
      <c r="G23" s="12"/>
    </row>
    <row r="24" spans="2:11" x14ac:dyDescent="0.25">
      <c r="B24" s="4" t="s">
        <v>177</v>
      </c>
      <c r="C24">
        <v>610</v>
      </c>
      <c r="D24" s="12"/>
      <c r="E24" s="73"/>
      <c r="F24" s="12"/>
      <c r="G24" s="12"/>
    </row>
    <row r="25" spans="2:11" x14ac:dyDescent="0.25">
      <c r="B25" s="4" t="s">
        <v>178</v>
      </c>
      <c r="C25">
        <v>711</v>
      </c>
      <c r="D25" s="12"/>
      <c r="E25" s="73"/>
      <c r="F25" s="12"/>
      <c r="G25" s="12"/>
    </row>
    <row r="26" spans="2:11" x14ac:dyDescent="0.25">
      <c r="B26" s="4" t="s">
        <v>179</v>
      </c>
      <c r="C26">
        <v>813</v>
      </c>
      <c r="D26" s="12"/>
      <c r="E26" s="73"/>
      <c r="F26" s="12"/>
      <c r="G26" s="12"/>
    </row>
    <row r="27" spans="2:11" x14ac:dyDescent="0.25">
      <c r="B27" s="4" t="s">
        <v>180</v>
      </c>
      <c r="C27">
        <v>914</v>
      </c>
      <c r="D27" s="12"/>
      <c r="E27" s="73"/>
      <c r="F27" s="12"/>
      <c r="G27" s="12"/>
    </row>
    <row r="28" spans="2:11" x14ac:dyDescent="0.25">
      <c r="B28" s="4" t="s">
        <v>181</v>
      </c>
      <c r="C28">
        <v>1016</v>
      </c>
      <c r="D28" s="12"/>
      <c r="E28" s="73"/>
      <c r="F28" s="12"/>
      <c r="G28" s="12"/>
    </row>
    <row r="29" spans="2:11" x14ac:dyDescent="0.25">
      <c r="B29" s="4" t="s">
        <v>182</v>
      </c>
      <c r="C29">
        <v>1118</v>
      </c>
      <c r="D29" s="12"/>
      <c r="E29" s="73"/>
      <c r="F29" s="12"/>
      <c r="G29" s="12"/>
    </row>
    <row r="30" spans="2:11" ht="15.75" thickBot="1" x14ac:dyDescent="0.3">
      <c r="B30" s="6" t="s">
        <v>183</v>
      </c>
      <c r="C30" s="7">
        <v>1220</v>
      </c>
      <c r="D30" s="76"/>
      <c r="E30" s="77"/>
      <c r="F30" s="12"/>
      <c r="G30" s="12"/>
    </row>
    <row r="31" spans="2:11" x14ac:dyDescent="0.25">
      <c r="D31" s="12"/>
      <c r="E31" s="12"/>
    </row>
    <row r="33" spans="1:25" ht="15.75" thickBot="1" x14ac:dyDescent="0.3"/>
    <row r="34" spans="1:25" ht="15.75" thickBot="1" x14ac:dyDescent="0.3">
      <c r="A34" s="140" t="s">
        <v>208</v>
      </c>
      <c r="B34" s="141"/>
      <c r="C34" s="141"/>
      <c r="D34" s="141"/>
      <c r="E34" s="141"/>
      <c r="F34" s="141"/>
      <c r="G34" s="141"/>
      <c r="H34" s="141"/>
      <c r="I34" s="141"/>
      <c r="J34" s="141"/>
      <c r="K34" s="141"/>
      <c r="L34" s="141"/>
      <c r="M34" s="141"/>
      <c r="N34" s="141"/>
      <c r="O34" s="141"/>
      <c r="P34" s="141"/>
      <c r="Q34" s="142"/>
    </row>
    <row r="35" spans="1:25" x14ac:dyDescent="0.25">
      <c r="A35" s="102" t="s">
        <v>199</v>
      </c>
      <c r="B35" s="97" t="s">
        <v>168</v>
      </c>
      <c r="C35" s="97" t="s">
        <v>169</v>
      </c>
      <c r="D35" s="97" t="s">
        <v>170</v>
      </c>
      <c r="E35" s="97" t="s">
        <v>171</v>
      </c>
      <c r="F35" s="97" t="s">
        <v>172</v>
      </c>
      <c r="G35" s="97" t="s">
        <v>173</v>
      </c>
      <c r="H35" s="97" t="s">
        <v>174</v>
      </c>
      <c r="I35" s="97" t="s">
        <v>175</v>
      </c>
      <c r="J35" s="97" t="s">
        <v>176</v>
      </c>
      <c r="K35" s="97" t="s">
        <v>177</v>
      </c>
      <c r="L35" s="97" t="s">
        <v>178</v>
      </c>
      <c r="M35" s="97" t="s">
        <v>179</v>
      </c>
      <c r="N35" s="97" t="s">
        <v>180</v>
      </c>
      <c r="O35" s="97" t="s">
        <v>181</v>
      </c>
      <c r="P35" s="97" t="s">
        <v>182</v>
      </c>
      <c r="Q35" s="99" t="s">
        <v>183</v>
      </c>
    </row>
    <row r="36" spans="1:25" x14ac:dyDescent="0.25">
      <c r="A36" s="143" t="s">
        <v>243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 s="12">
        <v>0</v>
      </c>
      <c r="Q36" s="73">
        <v>0</v>
      </c>
    </row>
    <row r="37" spans="1:25" x14ac:dyDescent="0.25">
      <c r="A37" s="143"/>
      <c r="B37" s="12">
        <v>3.6</v>
      </c>
      <c r="C37" s="12">
        <v>4.5</v>
      </c>
      <c r="D37" s="12">
        <v>5</v>
      </c>
      <c r="E37" s="12">
        <v>5.6</v>
      </c>
      <c r="F37" s="12">
        <v>6.3</v>
      </c>
      <c r="G37" s="12">
        <v>6.3</v>
      </c>
      <c r="H37" s="12">
        <v>6.3</v>
      </c>
      <c r="I37" s="12">
        <v>6.3</v>
      </c>
      <c r="J37" s="12">
        <v>6.3</v>
      </c>
      <c r="K37" s="12">
        <v>6.3</v>
      </c>
      <c r="L37" s="12">
        <v>7.3</v>
      </c>
      <c r="M37" s="12">
        <v>8.8000000000000007</v>
      </c>
      <c r="N37" s="12">
        <v>9.1</v>
      </c>
      <c r="O37" s="12">
        <v>10</v>
      </c>
      <c r="P37" s="12">
        <v>11</v>
      </c>
      <c r="Q37" s="73">
        <v>12.5</v>
      </c>
    </row>
    <row r="38" spans="1:25" x14ac:dyDescent="0.25">
      <c r="A38" s="143"/>
      <c r="B38" s="12">
        <v>6.3</v>
      </c>
      <c r="C38" s="12">
        <v>7.1</v>
      </c>
      <c r="D38" s="12">
        <v>6.3</v>
      </c>
      <c r="E38" s="12">
        <v>6.3</v>
      </c>
      <c r="F38" s="12">
        <v>7.1</v>
      </c>
      <c r="G38" s="12">
        <v>8</v>
      </c>
      <c r="H38" s="12">
        <v>8.8000000000000007</v>
      </c>
      <c r="I38" s="12">
        <v>10</v>
      </c>
      <c r="J38" s="12">
        <v>11</v>
      </c>
      <c r="K38" s="12">
        <v>12.5</v>
      </c>
      <c r="L38" s="12">
        <v>12.5</v>
      </c>
      <c r="M38" s="12">
        <v>12.5</v>
      </c>
      <c r="N38" s="12">
        <v>12.5</v>
      </c>
      <c r="O38" s="12">
        <v>12.5</v>
      </c>
      <c r="P38" s="12"/>
      <c r="Q38" s="73"/>
    </row>
    <row r="39" spans="1:25" x14ac:dyDescent="0.25">
      <c r="A39" s="143"/>
      <c r="B39" s="12">
        <v>8.8000000000000007</v>
      </c>
      <c r="C39" s="12">
        <v>11</v>
      </c>
      <c r="D39" s="12">
        <v>8</v>
      </c>
      <c r="E39" s="12">
        <v>8.8000000000000007</v>
      </c>
      <c r="F39" s="12">
        <v>10</v>
      </c>
      <c r="G39" s="12">
        <v>11</v>
      </c>
      <c r="H39" s="12">
        <v>12.5</v>
      </c>
      <c r="I39" s="12">
        <v>14.2</v>
      </c>
      <c r="J39" s="12">
        <v>16</v>
      </c>
      <c r="K39" s="12">
        <v>17.5</v>
      </c>
      <c r="L39" s="12"/>
      <c r="M39" s="12"/>
      <c r="N39" s="12"/>
      <c r="O39" s="12"/>
      <c r="P39" s="12"/>
      <c r="Q39" s="73"/>
    </row>
    <row r="40" spans="1:25" ht="15.75" thickBot="1" x14ac:dyDescent="0.3">
      <c r="A40" s="144"/>
      <c r="B40" s="76"/>
      <c r="C40" s="76"/>
      <c r="D40" s="76"/>
      <c r="E40" s="76">
        <v>14.2</v>
      </c>
      <c r="F40" s="76">
        <v>16</v>
      </c>
      <c r="G40" s="76">
        <v>17.5</v>
      </c>
      <c r="H40" s="76">
        <v>20</v>
      </c>
      <c r="I40" s="76">
        <v>22.2</v>
      </c>
      <c r="J40" s="76">
        <v>25</v>
      </c>
      <c r="K40" s="76">
        <v>30</v>
      </c>
      <c r="L40" s="76"/>
      <c r="M40" s="76"/>
      <c r="N40" s="76"/>
      <c r="O40" s="76"/>
      <c r="P40" s="7"/>
      <c r="Q40" s="8"/>
    </row>
    <row r="42" spans="1:25" x14ac:dyDescent="0.25">
      <c r="B42" s="148" t="s">
        <v>211</v>
      </c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</row>
    <row r="43" spans="1:25" x14ac:dyDescent="0.25">
      <c r="B43" s="136" t="s">
        <v>228</v>
      </c>
      <c r="C43" s="136"/>
      <c r="D43" s="136"/>
      <c r="E43" s="136"/>
      <c r="H43" s="136" t="s">
        <v>204</v>
      </c>
      <c r="I43" s="136"/>
      <c r="J43" s="136"/>
      <c r="K43" s="136"/>
      <c r="N43" s="136" t="s">
        <v>232</v>
      </c>
      <c r="O43" s="136"/>
      <c r="P43" s="136"/>
      <c r="Q43" s="136"/>
      <c r="R43" s="136"/>
      <c r="U43" s="136" t="s">
        <v>233</v>
      </c>
      <c r="V43" s="136"/>
      <c r="W43" s="136"/>
      <c r="X43" s="136"/>
      <c r="Y43" s="136"/>
    </row>
    <row r="44" spans="1:25" x14ac:dyDescent="0.25">
      <c r="B44" s="2" t="s">
        <v>236</v>
      </c>
      <c r="C44" s="2" t="s">
        <v>237</v>
      </c>
      <c r="D44" s="2" t="s">
        <v>238</v>
      </c>
      <c r="E44" s="2" t="s">
        <v>239</v>
      </c>
      <c r="H44" s="2" t="s">
        <v>236</v>
      </c>
      <c r="I44" s="2" t="s">
        <v>237</v>
      </c>
      <c r="J44" s="2" t="s">
        <v>238</v>
      </c>
      <c r="K44" s="2" t="s">
        <v>239</v>
      </c>
      <c r="N44" s="2" t="s">
        <v>236</v>
      </c>
      <c r="O44" s="2" t="s">
        <v>240</v>
      </c>
      <c r="P44" s="2" t="s">
        <v>237</v>
      </c>
      <c r="Q44" s="2" t="s">
        <v>238</v>
      </c>
      <c r="R44" s="2" t="s">
        <v>239</v>
      </c>
      <c r="U44" s="2" t="s">
        <v>236</v>
      </c>
      <c r="V44" s="2" t="s">
        <v>240</v>
      </c>
      <c r="W44" s="2" t="s">
        <v>237</v>
      </c>
      <c r="X44" s="2" t="s">
        <v>238</v>
      </c>
      <c r="Y44" s="2" t="s">
        <v>239</v>
      </c>
    </row>
    <row r="45" spans="1:25" x14ac:dyDescent="0.25">
      <c r="B45">
        <f>MATCH(Übersicht!B19,Rohrdatenbank!B35:Q35,0)</f>
        <v>10</v>
      </c>
      <c r="C45" t="str" cm="1">
        <f t="array" ref="C45:C49">_xlfn._xlws.FILTER(B35:Q39,(B35:Q35=Übersicht!B19),)</f>
        <v>DN-600</v>
      </c>
      <c r="D45">
        <f>IFERROR(MATCH(Übersicht!B20,Rohrdatenbank!C46:C49,1)+1,1)</f>
        <v>2</v>
      </c>
      <c r="E45" cm="1">
        <f t="array" ref="E45">INDEX(B35:Q40,D45+1,B45)</f>
        <v>6.3</v>
      </c>
      <c r="H45">
        <f>MATCH(Übersicht!I11,Rohrdatenbank!B35:Q35,0)</f>
        <v>5</v>
      </c>
      <c r="I45" t="str" cm="1">
        <f t="array" ref="I45:I49">_xlfn._xlws.FILTER(B35:Q39,(B35:Q35=Übersicht!I11),)</f>
        <v>DN-300</v>
      </c>
      <c r="J45">
        <f>IFERROR(MATCH(Übersicht!I17,Rohrdatenbank!I46:I49,1)+1,1)</f>
        <v>3</v>
      </c>
      <c r="K45" cm="1">
        <f t="array" ref="K45">INDEX(B35:Q40,J45+1,H45)</f>
        <v>7.1</v>
      </c>
      <c r="N45">
        <f>B45+1</f>
        <v>11</v>
      </c>
      <c r="O45" t="str" cm="1">
        <f t="array" ref="O45">INDEX(B35:Q35,1,N45)</f>
        <v>DN-700</v>
      </c>
      <c r="P45" t="str" cm="1">
        <f t="array" ref="P45:P49">_xlfn._xlws.FILTER(B35:Q39,(B35:Q35=O45),)</f>
        <v>DN-700</v>
      </c>
      <c r="Q45">
        <f>IFERROR(MATCH(Übersicht!B20,Rohrdatenbank!C46:C49,1)+1,1)</f>
        <v>2</v>
      </c>
      <c r="R45" cm="1">
        <f t="array" ref="R45">INDEX(B35:Q40,Q45+1,N45)</f>
        <v>7.3</v>
      </c>
      <c r="U45">
        <f>H45+1</f>
        <v>6</v>
      </c>
      <c r="V45" t="str" cm="1">
        <f t="array" ref="V45">INDEX(B35:Q35,1,U45)</f>
        <v>DN-350</v>
      </c>
      <c r="W45" t="str" cm="1">
        <f t="array" ref="W45:W49">_xlfn._xlws.FILTER(B35:Q39,(B35:Q35=V45),)</f>
        <v>DN-350</v>
      </c>
      <c r="X45">
        <f>IFERROR(MATCH(Übersicht!I20,Rohrdatenbank!W46:W49,1)+1,1)</f>
        <v>5</v>
      </c>
      <c r="Y45" cm="1">
        <f t="array" ref="Y45">INDEX(B35:Q40,X45+1,U45)</f>
        <v>17.5</v>
      </c>
    </row>
    <row r="46" spans="1:25" x14ac:dyDescent="0.25">
      <c r="C46">
        <v>0</v>
      </c>
      <c r="I46">
        <v>0</v>
      </c>
      <c r="P46">
        <v>0</v>
      </c>
      <c r="W46">
        <v>0</v>
      </c>
    </row>
    <row r="47" spans="1:25" x14ac:dyDescent="0.25">
      <c r="C47">
        <v>6.3</v>
      </c>
      <c r="I47">
        <v>6.3</v>
      </c>
      <c r="P47">
        <v>7.3</v>
      </c>
      <c r="W47">
        <v>6.3</v>
      </c>
    </row>
    <row r="48" spans="1:25" x14ac:dyDescent="0.25">
      <c r="C48">
        <v>12.5</v>
      </c>
      <c r="I48">
        <v>7.1</v>
      </c>
      <c r="P48">
        <v>12.5</v>
      </c>
      <c r="W48">
        <v>8</v>
      </c>
    </row>
    <row r="49" spans="2:23" x14ac:dyDescent="0.25">
      <c r="C49">
        <v>17.5</v>
      </c>
      <c r="I49">
        <v>10</v>
      </c>
      <c r="P49">
        <v>0</v>
      </c>
      <c r="W49">
        <v>11</v>
      </c>
    </row>
    <row r="51" spans="2:23" ht="15.75" thickBot="1" x14ac:dyDescent="0.3"/>
    <row r="52" spans="2:23" ht="15.75" thickBot="1" x14ac:dyDescent="0.3">
      <c r="B52" s="140" t="s">
        <v>212</v>
      </c>
      <c r="C52" s="141"/>
      <c r="D52" s="141"/>
      <c r="E52" s="142"/>
    </row>
    <row r="53" spans="2:23" x14ac:dyDescent="0.25">
      <c r="B53" s="4" t="s">
        <v>209</v>
      </c>
      <c r="C53">
        <v>70</v>
      </c>
      <c r="D53">
        <v>80</v>
      </c>
      <c r="E53" s="5">
        <v>100</v>
      </c>
    </row>
    <row r="54" spans="2:23" x14ac:dyDescent="0.25">
      <c r="B54" s="4" t="s">
        <v>168</v>
      </c>
      <c r="C54">
        <v>870</v>
      </c>
      <c r="D54">
        <v>880</v>
      </c>
      <c r="E54" s="5">
        <v>900</v>
      </c>
    </row>
    <row r="55" spans="2:23" x14ac:dyDescent="0.25">
      <c r="B55" s="4" t="s">
        <v>169</v>
      </c>
      <c r="C55">
        <v>870</v>
      </c>
      <c r="D55">
        <v>880</v>
      </c>
      <c r="E55" s="5">
        <v>900</v>
      </c>
    </row>
    <row r="56" spans="2:23" x14ac:dyDescent="0.25">
      <c r="B56" s="4" t="s">
        <v>170</v>
      </c>
      <c r="C56">
        <v>870</v>
      </c>
      <c r="D56">
        <v>880</v>
      </c>
      <c r="E56" s="5">
        <v>900</v>
      </c>
    </row>
    <row r="57" spans="2:23" x14ac:dyDescent="0.25">
      <c r="B57" s="4" t="s">
        <v>171</v>
      </c>
      <c r="C57">
        <v>870</v>
      </c>
      <c r="D57">
        <v>880</v>
      </c>
      <c r="E57" s="5">
        <v>900</v>
      </c>
    </row>
    <row r="58" spans="2:23" x14ac:dyDescent="0.25">
      <c r="B58" s="4" t="s">
        <v>172</v>
      </c>
      <c r="C58">
        <v>870</v>
      </c>
      <c r="D58">
        <v>880</v>
      </c>
      <c r="E58" s="5">
        <v>900</v>
      </c>
    </row>
    <row r="59" spans="2:23" x14ac:dyDescent="0.25">
      <c r="B59" s="4" t="s">
        <v>173</v>
      </c>
      <c r="C59">
        <v>870</v>
      </c>
      <c r="D59">
        <v>880</v>
      </c>
      <c r="E59" s="5">
        <v>900</v>
      </c>
    </row>
    <row r="60" spans="2:23" x14ac:dyDescent="0.25">
      <c r="B60" s="4" t="s">
        <v>174</v>
      </c>
      <c r="C60">
        <v>870</v>
      </c>
      <c r="D60">
        <v>880</v>
      </c>
      <c r="E60" s="5">
        <v>900</v>
      </c>
    </row>
    <row r="61" spans="2:23" x14ac:dyDescent="0.25">
      <c r="B61" s="4" t="s">
        <v>175</v>
      </c>
      <c r="C61">
        <v>980</v>
      </c>
      <c r="D61">
        <v>1010</v>
      </c>
      <c r="E61" s="5">
        <v>1070</v>
      </c>
    </row>
    <row r="62" spans="2:23" x14ac:dyDescent="0.25">
      <c r="B62" s="4" t="s">
        <v>176</v>
      </c>
      <c r="C62">
        <v>980</v>
      </c>
      <c r="D62">
        <v>1010</v>
      </c>
      <c r="E62" s="5">
        <v>1070</v>
      </c>
    </row>
    <row r="63" spans="2:23" x14ac:dyDescent="0.25">
      <c r="B63" s="4" t="s">
        <v>210</v>
      </c>
      <c r="C63">
        <v>1130</v>
      </c>
      <c r="D63">
        <v>1160</v>
      </c>
      <c r="E63" s="5">
        <v>1240</v>
      </c>
    </row>
    <row r="64" spans="2:23" x14ac:dyDescent="0.25">
      <c r="B64" s="4" t="s">
        <v>177</v>
      </c>
      <c r="C64">
        <v>1130</v>
      </c>
      <c r="D64">
        <v>1160</v>
      </c>
      <c r="E64" s="5">
        <v>1240</v>
      </c>
    </row>
    <row r="65" spans="2:5" x14ac:dyDescent="0.25">
      <c r="B65" s="4" t="s">
        <v>178</v>
      </c>
      <c r="C65">
        <v>1220</v>
      </c>
      <c r="D65">
        <v>1250</v>
      </c>
      <c r="E65" s="5">
        <v>1400</v>
      </c>
    </row>
    <row r="66" spans="2:5" x14ac:dyDescent="0.25">
      <c r="B66" s="4" t="s">
        <v>179</v>
      </c>
      <c r="C66">
        <v>1390</v>
      </c>
      <c r="D66">
        <v>1500</v>
      </c>
      <c r="E66" s="5">
        <v>1590</v>
      </c>
    </row>
    <row r="67" spans="2:5" x14ac:dyDescent="0.25">
      <c r="B67" s="4" t="s">
        <v>180</v>
      </c>
      <c r="C67">
        <v>1600</v>
      </c>
      <c r="D67">
        <v>1640</v>
      </c>
      <c r="E67" s="5">
        <v>1770</v>
      </c>
    </row>
    <row r="68" spans="2:5" x14ac:dyDescent="0.25">
      <c r="B68" s="4" t="s">
        <v>181</v>
      </c>
      <c r="C68">
        <v>1770</v>
      </c>
      <c r="D68">
        <v>1830</v>
      </c>
      <c r="E68" s="5">
        <v>2010</v>
      </c>
    </row>
    <row r="69" spans="2:5" x14ac:dyDescent="0.25">
      <c r="B69" s="4" t="s">
        <v>182</v>
      </c>
      <c r="C69">
        <v>1414</v>
      </c>
      <c r="D69">
        <v>1497</v>
      </c>
      <c r="E69" s="5">
        <v>1658</v>
      </c>
    </row>
    <row r="70" spans="2:5" ht="15.75" thickBot="1" x14ac:dyDescent="0.3">
      <c r="B70" s="6" t="s">
        <v>183</v>
      </c>
      <c r="C70" s="7">
        <v>1571</v>
      </c>
      <c r="D70" s="7">
        <v>1668</v>
      </c>
      <c r="E70" s="8">
        <v>1867</v>
      </c>
    </row>
  </sheetData>
  <sheetProtection algorithmName="SHA-512" hashValue="OUbLiLjLC64UwOJxPYyZ2lqXGodYAtI4GY5UIa31oYj0QF2oPDE/d2uRJ2P/QQUTH4fzbuAeJmQ2X6mPwBxlfg==" saltValue="tmlQAlsSkUa/XS7aAjNyDg==" spinCount="100000" sheet="1" selectLockedCells="1"/>
  <autoFilter ref="B35:Q40" xr:uid="{BD66DF5A-6AB3-4B11-9E3F-3F100A183470}"/>
  <mergeCells count="11">
    <mergeCell ref="B52:E52"/>
    <mergeCell ref="A36:A40"/>
    <mergeCell ref="B43:E43"/>
    <mergeCell ref="H43:K43"/>
    <mergeCell ref="A1:A9"/>
    <mergeCell ref="B1:F1"/>
    <mergeCell ref="B13:E13"/>
    <mergeCell ref="A34:Q34"/>
    <mergeCell ref="B42:Y42"/>
    <mergeCell ref="N43:R43"/>
    <mergeCell ref="U43:Y43"/>
  </mergeCells>
  <phoneticPr fontId="5" type="noConversion"/>
  <pageMargins left="0.7" right="0.7" top="0.78740157499999996" bottom="0.78740157499999996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81B47-AF7D-468F-8355-D48B171EFD46}">
  <dimension ref="A1:P62"/>
  <sheetViews>
    <sheetView workbookViewId="0">
      <selection activeCell="F22" sqref="F22"/>
    </sheetView>
  </sheetViews>
  <sheetFormatPr baseColWidth="10" defaultRowHeight="15" x14ac:dyDescent="0.25"/>
  <cols>
    <col min="1" max="1" width="12.42578125" customWidth="1"/>
    <col min="2" max="2" width="13.5703125" customWidth="1"/>
    <col min="8" max="8" width="31.85546875" customWidth="1"/>
    <col min="9" max="9" width="8.28515625" customWidth="1"/>
    <col min="11" max="11" width="16.28515625" customWidth="1"/>
  </cols>
  <sheetData>
    <row r="1" spans="1:16" x14ac:dyDescent="0.25">
      <c r="A1" s="136" t="s">
        <v>100</v>
      </c>
      <c r="B1" s="136"/>
      <c r="C1" s="136"/>
      <c r="G1" s="137" t="s">
        <v>91</v>
      </c>
      <c r="H1" s="138"/>
      <c r="I1" s="139"/>
      <c r="L1" s="137" t="s">
        <v>87</v>
      </c>
      <c r="M1" s="138"/>
      <c r="N1" s="139"/>
    </row>
    <row r="2" spans="1:16" x14ac:dyDescent="0.25">
      <c r="A2" t="s">
        <v>101</v>
      </c>
      <c r="B2" t="s">
        <v>102</v>
      </c>
      <c r="G2" s="4" t="s">
        <v>92</v>
      </c>
      <c r="H2" t="s">
        <v>2</v>
      </c>
      <c r="I2" s="5" t="s">
        <v>93</v>
      </c>
      <c r="L2" s="4" t="s">
        <v>92</v>
      </c>
      <c r="M2" t="s">
        <v>2</v>
      </c>
      <c r="N2" s="5" t="s">
        <v>93</v>
      </c>
    </row>
    <row r="3" spans="1:16" x14ac:dyDescent="0.25">
      <c r="A3" s="14"/>
      <c r="B3" t="s">
        <v>103</v>
      </c>
      <c r="G3" s="4" t="s">
        <v>14</v>
      </c>
      <c r="H3">
        <f>Übersicht!I10</f>
        <v>70</v>
      </c>
      <c r="I3" s="5" t="s">
        <v>15</v>
      </c>
      <c r="L3" s="4" t="s">
        <v>88</v>
      </c>
      <c r="M3">
        <f>1*2</f>
        <v>2</v>
      </c>
      <c r="N3" s="5" t="s">
        <v>10</v>
      </c>
    </row>
    <row r="4" spans="1:16" ht="15.75" thickBot="1" x14ac:dyDescent="0.3">
      <c r="A4" s="9" t="s">
        <v>105</v>
      </c>
      <c r="B4" t="s">
        <v>104</v>
      </c>
      <c r="G4" s="6" t="s">
        <v>16</v>
      </c>
      <c r="H4" s="7">
        <v>300</v>
      </c>
      <c r="I4" s="8" t="s">
        <v>17</v>
      </c>
      <c r="L4" s="4" t="s">
        <v>11</v>
      </c>
      <c r="M4">
        <v>8.3142999999999994</v>
      </c>
      <c r="N4" s="5" t="s">
        <v>89</v>
      </c>
    </row>
    <row r="5" spans="1:16" x14ac:dyDescent="0.25">
      <c r="A5" s="10"/>
      <c r="B5" t="s">
        <v>108</v>
      </c>
      <c r="L5" s="4" t="s">
        <v>12</v>
      </c>
      <c r="M5" s="14">
        <f>$M$4/$M$3</f>
        <v>4.1571499999999997</v>
      </c>
      <c r="N5" s="5" t="s">
        <v>13</v>
      </c>
    </row>
    <row r="6" spans="1:16" x14ac:dyDescent="0.25">
      <c r="A6" s="11"/>
      <c r="B6" t="s">
        <v>109</v>
      </c>
      <c r="L6" s="4" t="s">
        <v>90</v>
      </c>
      <c r="M6" s="14">
        <f>($H$3*10^5)/($M$5*$H$4)/1000*$M$3</f>
        <v>11.225639360298922</v>
      </c>
      <c r="N6" s="5" t="s">
        <v>18</v>
      </c>
      <c r="O6" s="81"/>
      <c r="P6" s="81"/>
    </row>
    <row r="7" spans="1:16" ht="15.75" thickBot="1" x14ac:dyDescent="0.3">
      <c r="L7" s="4" t="s">
        <v>63</v>
      </c>
      <c r="M7">
        <v>14360</v>
      </c>
      <c r="N7" s="5" t="s">
        <v>66</v>
      </c>
      <c r="O7" s="81" t="s">
        <v>65</v>
      </c>
      <c r="P7" s="82" t="s">
        <v>67</v>
      </c>
    </row>
    <row r="8" spans="1:16" x14ac:dyDescent="0.25">
      <c r="A8" s="137" t="s">
        <v>116</v>
      </c>
      <c r="B8" s="138"/>
      <c r="C8" s="138"/>
      <c r="D8" s="138"/>
      <c r="E8" s="138"/>
      <c r="F8" s="138"/>
      <c r="G8" s="138"/>
      <c r="H8" s="139"/>
      <c r="L8" s="4" t="s">
        <v>64</v>
      </c>
      <c r="M8">
        <v>10100</v>
      </c>
      <c r="N8" s="5" t="s">
        <v>66</v>
      </c>
      <c r="O8" s="81" t="s">
        <v>65</v>
      </c>
      <c r="P8" s="82" t="s">
        <v>67</v>
      </c>
    </row>
    <row r="9" spans="1:16" x14ac:dyDescent="0.25">
      <c r="A9" s="4" t="s">
        <v>0</v>
      </c>
      <c r="B9" s="22">
        <f>Übersicht!B11</f>
        <v>300000</v>
      </c>
      <c r="C9" t="s">
        <v>1</v>
      </c>
      <c r="H9" s="5"/>
      <c r="L9" s="4" t="s">
        <v>62</v>
      </c>
      <c r="M9">
        <f>M7/M8</f>
        <v>1.4217821782178217</v>
      </c>
      <c r="N9" s="5" t="s">
        <v>60</v>
      </c>
      <c r="O9" s="81"/>
      <c r="P9" s="81"/>
    </row>
    <row r="10" spans="1:16" ht="15.75" thickBot="1" x14ac:dyDescent="0.3">
      <c r="A10" s="4"/>
      <c r="H10" s="5"/>
      <c r="L10" s="4" t="s">
        <v>52</v>
      </c>
      <c r="M10">
        <v>9.1729000000000003</v>
      </c>
      <c r="N10" s="5" t="s">
        <v>53</v>
      </c>
      <c r="O10" s="81" t="s">
        <v>54</v>
      </c>
      <c r="P10" s="82" t="s">
        <v>55</v>
      </c>
    </row>
    <row r="11" spans="1:16" ht="15.75" thickBot="1" x14ac:dyDescent="0.3">
      <c r="A11" s="132" t="s">
        <v>7</v>
      </c>
      <c r="B11" s="133"/>
      <c r="C11" s="134"/>
      <c r="E11" s="132" t="s">
        <v>8</v>
      </c>
      <c r="F11" s="133"/>
      <c r="G11" s="134"/>
      <c r="H11" s="5" t="s">
        <v>110</v>
      </c>
      <c r="L11" s="6" t="s">
        <v>56</v>
      </c>
      <c r="M11" s="15">
        <f>M10/M6</f>
        <v>0.81713831217857147</v>
      </c>
      <c r="N11" s="8" t="s">
        <v>57</v>
      </c>
      <c r="O11" s="81"/>
      <c r="P11" s="81"/>
    </row>
    <row r="12" spans="1:16" x14ac:dyDescent="0.25">
      <c r="A12" s="4" t="s">
        <v>3</v>
      </c>
      <c r="B12" s="14">
        <f>B9/8760</f>
        <v>34.246575342465754</v>
      </c>
      <c r="C12" s="5" t="s">
        <v>4</v>
      </c>
      <c r="D12" t="s">
        <v>215</v>
      </c>
      <c r="E12" s="4" t="s">
        <v>94</v>
      </c>
      <c r="F12" s="14">
        <f>B12*10^3/$M$6</f>
        <v>3050.7460861056752</v>
      </c>
      <c r="G12" s="5" t="s">
        <v>19</v>
      </c>
      <c r="H12" s="5"/>
    </row>
    <row r="13" spans="1:16" x14ac:dyDescent="0.25">
      <c r="A13" s="4" t="s">
        <v>5</v>
      </c>
      <c r="B13" s="14">
        <f>B12/3600*1000</f>
        <v>9.512937595129376</v>
      </c>
      <c r="C13" s="5" t="s">
        <v>6</v>
      </c>
      <c r="E13" s="4" t="s">
        <v>94</v>
      </c>
      <c r="F13" s="14">
        <f>F12/60</f>
        <v>50.845768101761252</v>
      </c>
      <c r="G13" s="5" t="s">
        <v>95</v>
      </c>
      <c r="H13" s="5"/>
    </row>
    <row r="14" spans="1:16" x14ac:dyDescent="0.25">
      <c r="A14" s="4"/>
      <c r="C14" s="5"/>
      <c r="E14" s="4" t="s">
        <v>94</v>
      </c>
      <c r="F14" s="14">
        <f>F13/60</f>
        <v>0.84742946836268751</v>
      </c>
      <c r="G14" s="5" t="s">
        <v>20</v>
      </c>
      <c r="H14" s="5"/>
    </row>
    <row r="15" spans="1:16" ht="15.75" thickBot="1" x14ac:dyDescent="0.3">
      <c r="A15" s="6"/>
      <c r="B15" s="7"/>
      <c r="C15" s="8"/>
      <c r="E15" s="6"/>
      <c r="F15" s="7"/>
      <c r="G15" s="8"/>
      <c r="H15" s="5"/>
    </row>
    <row r="16" spans="1:16" ht="15.75" thickBot="1" x14ac:dyDescent="0.3">
      <c r="A16" s="6"/>
      <c r="B16" s="7"/>
      <c r="C16" s="7"/>
      <c r="D16" s="7"/>
      <c r="E16" s="7"/>
      <c r="F16" s="7"/>
      <c r="G16" s="7"/>
      <c r="H16" s="8"/>
    </row>
    <row r="17" spans="1:12" ht="15.75" thickBot="1" x14ac:dyDescent="0.3">
      <c r="A17" s="132" t="s">
        <v>30</v>
      </c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4"/>
    </row>
    <row r="18" spans="1:12" x14ac:dyDescent="0.25">
      <c r="A18" s="4" t="s">
        <v>21</v>
      </c>
      <c r="G18" s="136" t="s">
        <v>112</v>
      </c>
      <c r="H18" s="136"/>
      <c r="I18" s="2"/>
      <c r="L18" s="5"/>
    </row>
    <row r="19" spans="1:12" x14ac:dyDescent="0.25">
      <c r="A19" s="4" t="s">
        <v>22</v>
      </c>
      <c r="B19">
        <v>0.47199999999999998</v>
      </c>
      <c r="C19" t="s">
        <v>24</v>
      </c>
      <c r="D19" t="s">
        <v>25</v>
      </c>
      <c r="E19" t="s">
        <v>115</v>
      </c>
      <c r="G19" s="9" t="s">
        <v>68</v>
      </c>
      <c r="H19" s="9">
        <v>20</v>
      </c>
      <c r="I19" s="9" t="s">
        <v>15</v>
      </c>
      <c r="J19" t="s">
        <v>113</v>
      </c>
      <c r="K19" s="19" t="s">
        <v>114</v>
      </c>
      <c r="L19" s="5"/>
    </row>
    <row r="20" spans="1:12" x14ac:dyDescent="0.25">
      <c r="A20" s="4" t="s">
        <v>23</v>
      </c>
      <c r="B20">
        <v>0.47199999999999998</v>
      </c>
      <c r="C20" t="s">
        <v>24</v>
      </c>
      <c r="D20" t="s">
        <v>26</v>
      </c>
      <c r="G20" t="s">
        <v>69</v>
      </c>
      <c r="H20">
        <f>H3</f>
        <v>70</v>
      </c>
      <c r="I20" t="s">
        <v>15</v>
      </c>
      <c r="L20" s="5"/>
    </row>
    <row r="21" spans="1:12" ht="15.75" thickBot="1" x14ac:dyDescent="0.3">
      <c r="A21" s="4"/>
      <c r="G21" t="s">
        <v>70</v>
      </c>
      <c r="H21">
        <f>H22/(H20/H19)^((M9-1)/M9)</f>
        <v>206.88045050524025</v>
      </c>
      <c r="I21" t="s">
        <v>71</v>
      </c>
      <c r="L21" s="5"/>
    </row>
    <row r="22" spans="1:12" ht="15.75" thickBot="1" x14ac:dyDescent="0.3">
      <c r="A22" s="4" t="s">
        <v>27</v>
      </c>
      <c r="B22" s="18" t="str">
        <f>IF($F$14&gt;$B$19,D19,D20)</f>
        <v>Zentrifugalverdichter</v>
      </c>
      <c r="G22" t="s">
        <v>72</v>
      </c>
      <c r="H22">
        <f>H4</f>
        <v>300</v>
      </c>
      <c r="I22" t="s">
        <v>71</v>
      </c>
      <c r="L22" s="5"/>
    </row>
    <row r="23" spans="1:12" x14ac:dyDescent="0.25">
      <c r="A23" s="4" t="s">
        <v>73</v>
      </c>
      <c r="L23" s="5"/>
    </row>
    <row r="24" spans="1:12" x14ac:dyDescent="0.25">
      <c r="A24" s="4"/>
      <c r="L24" s="5"/>
    </row>
    <row r="25" spans="1:12" x14ac:dyDescent="0.25">
      <c r="A25" s="4" t="s">
        <v>73</v>
      </c>
      <c r="B25">
        <f>B13*M7*(H22-H21)/1000</f>
        <v>12720.669051985826</v>
      </c>
      <c r="C25" t="s">
        <v>74</v>
      </c>
      <c r="G25" s="136"/>
      <c r="H25" s="136"/>
      <c r="L25" s="5"/>
    </row>
    <row r="26" spans="1:12" x14ac:dyDescent="0.25">
      <c r="A26" s="4"/>
      <c r="L26" s="5"/>
    </row>
    <row r="27" spans="1:12" x14ac:dyDescent="0.25">
      <c r="A27" s="4" t="s">
        <v>75</v>
      </c>
      <c r="B27" s="14">
        <f>M8*(H22-H21)</f>
        <v>940507.44989707344</v>
      </c>
      <c r="C27" t="s">
        <v>76</v>
      </c>
      <c r="L27" s="5"/>
    </row>
    <row r="28" spans="1:12" x14ac:dyDescent="0.25">
      <c r="A28" s="4" t="s">
        <v>73</v>
      </c>
      <c r="B28" s="14">
        <f>B27*B13/1000</f>
        <v>8946.9886786251282</v>
      </c>
      <c r="C28" t="s">
        <v>74</v>
      </c>
      <c r="L28" s="5"/>
    </row>
    <row r="29" spans="1:12" ht="15.75" thickBot="1" x14ac:dyDescent="0.3">
      <c r="A29" s="6"/>
      <c r="B29" s="7"/>
      <c r="C29" s="7"/>
      <c r="D29" s="7"/>
      <c r="E29" s="7"/>
      <c r="F29" s="7"/>
      <c r="G29" s="7"/>
      <c r="H29" s="7"/>
      <c r="I29" s="7"/>
      <c r="J29" s="7"/>
      <c r="K29" s="7"/>
      <c r="L29" s="8"/>
    </row>
    <row r="30" spans="1:12" ht="15.75" thickBot="1" x14ac:dyDescent="0.3">
      <c r="A30" s="132" t="s">
        <v>31</v>
      </c>
      <c r="B30" s="133"/>
      <c r="C30" s="133"/>
      <c r="D30" s="133"/>
      <c r="E30" s="133"/>
      <c r="F30" s="133"/>
      <c r="G30" s="134"/>
    </row>
    <row r="31" spans="1:12" x14ac:dyDescent="0.25">
      <c r="A31" s="13" t="s">
        <v>28</v>
      </c>
      <c r="B31" s="9">
        <v>12</v>
      </c>
      <c r="C31" s="9" t="s">
        <v>29</v>
      </c>
      <c r="D31" s="81" t="s">
        <v>54</v>
      </c>
      <c r="E31" s="80" t="s">
        <v>111</v>
      </c>
      <c r="G31" s="5"/>
    </row>
    <row r="32" spans="1:12" x14ac:dyDescent="0.25">
      <c r="A32" s="13" t="s">
        <v>187</v>
      </c>
      <c r="B32" s="9">
        <f>1+Übersicht!B14/100</f>
        <v>1</v>
      </c>
      <c r="C32" s="9"/>
      <c r="E32" s="17"/>
      <c r="G32" s="5"/>
    </row>
    <row r="33" spans="1:7" x14ac:dyDescent="0.25">
      <c r="A33" s="4" t="s">
        <v>32</v>
      </c>
      <c r="B33" t="s">
        <v>33</v>
      </c>
      <c r="G33" s="5"/>
    </row>
    <row r="34" spans="1:7" x14ac:dyDescent="0.25">
      <c r="A34" s="4" t="s">
        <v>36</v>
      </c>
      <c r="B34" s="25">
        <f>B32*F14/B31</f>
        <v>7.0619122363557288E-2</v>
      </c>
      <c r="C34" t="s">
        <v>37</v>
      </c>
      <c r="D34">
        <f>B34*100^2</f>
        <v>706.1912236355729</v>
      </c>
      <c r="E34" t="s">
        <v>38</v>
      </c>
      <c r="G34" s="5"/>
    </row>
    <row r="35" spans="1:7" x14ac:dyDescent="0.25">
      <c r="A35" s="4" t="s">
        <v>35</v>
      </c>
      <c r="B35" s="25">
        <f>SQRT((B32*F14*4)/(B31*PI()))</f>
        <v>0.29985839859469077</v>
      </c>
      <c r="C35" t="s">
        <v>34</v>
      </c>
      <c r="G35" s="5"/>
    </row>
    <row r="36" spans="1:7" x14ac:dyDescent="0.25">
      <c r="A36" s="4" t="s">
        <v>185</v>
      </c>
      <c r="B36" s="14" t="str">
        <f>Übersicht!I12</f>
        <v>L245NB/L245MB</v>
      </c>
      <c r="G36" s="5"/>
    </row>
    <row r="37" spans="1:7" x14ac:dyDescent="0.25">
      <c r="A37" s="4" t="s">
        <v>184</v>
      </c>
      <c r="B37" s="24">
        <f>((H3*B40*1000)/(20*VLOOKUP(B36,Rohrdatenbank!$B$3:$E$9,3,FALSE)*VLOOKUP(B36,Rohrdatenbank!$B$3:$E$9,4,FALSE)))</f>
        <v>6.9061833688699359</v>
      </c>
      <c r="C37" t="s">
        <v>41</v>
      </c>
      <c r="G37" s="5"/>
    </row>
    <row r="38" spans="1:7" x14ac:dyDescent="0.25">
      <c r="A38" s="135" t="s">
        <v>43</v>
      </c>
      <c r="B38" s="136"/>
      <c r="C38" t="s">
        <v>39</v>
      </c>
      <c r="G38" s="5"/>
    </row>
    <row r="39" spans="1:7" x14ac:dyDescent="0.25">
      <c r="A39" s="4" t="s">
        <v>222</v>
      </c>
      <c r="B39" s="88" t="str">
        <f>Übersicht!I11</f>
        <v>DN-300</v>
      </c>
      <c r="G39" s="5"/>
    </row>
    <row r="40" spans="1:7" x14ac:dyDescent="0.25">
      <c r="A40" s="4" t="s">
        <v>226</v>
      </c>
      <c r="B40">
        <f>VLOOKUP(B39,Rohrdatenbank!$B$15:$C$30,2,FALSE)/1000</f>
        <v>0.32389999999999997</v>
      </c>
      <c r="C40" t="s">
        <v>39</v>
      </c>
      <c r="G40" s="5"/>
    </row>
    <row r="41" spans="1:7" x14ac:dyDescent="0.25">
      <c r="A41" s="4" t="s">
        <v>221</v>
      </c>
      <c r="B41">
        <f>VLOOKUP(B36,Rohrdatenbank!$B$3:$D$9,3,FALSE)</f>
        <v>245</v>
      </c>
      <c r="C41" t="s">
        <v>192</v>
      </c>
      <c r="G41" s="5"/>
    </row>
    <row r="42" spans="1:7" x14ac:dyDescent="0.25">
      <c r="A42" s="4" t="s">
        <v>40</v>
      </c>
      <c r="B42">
        <f>IF(OR(Rohrdatenbank!K45&lt;B37,Rohrdatenbank!K45=0),"Fehler",Rohrdatenbank!K45)</f>
        <v>7.1</v>
      </c>
      <c r="C42" t="s">
        <v>41</v>
      </c>
      <c r="G42" s="5"/>
    </row>
    <row r="43" spans="1:7" x14ac:dyDescent="0.25">
      <c r="A43" s="4" t="str">
        <f>"Außendurchmesser Rohr "&amp;B39</f>
        <v>Außendurchmesser Rohr DN-300</v>
      </c>
      <c r="B43">
        <f>VLOOKUP(B39,Rohrdatenbank!B15:C30,2,FALSE)</f>
        <v>323.89999999999998</v>
      </c>
      <c r="C43" t="s">
        <v>41</v>
      </c>
      <c r="G43" s="5"/>
    </row>
    <row r="44" spans="1:7" x14ac:dyDescent="0.25">
      <c r="A44" s="4" t="s">
        <v>42</v>
      </c>
      <c r="B44">
        <f>(B43-2*B42)/1000</f>
        <v>0.30969999999999998</v>
      </c>
      <c r="C44" t="s">
        <v>39</v>
      </c>
      <c r="G44" s="5"/>
    </row>
    <row r="45" spans="1:7" x14ac:dyDescent="0.25">
      <c r="A45" s="4" t="s">
        <v>214</v>
      </c>
      <c r="B45">
        <f>IF(Übersicht!I10&lt;=70,VLOOKUP(Übersicht!I11,Rohrdatenbank!$B$54:$E$70,2,FALSE),IF(AND(70&lt;Übersicht!I10,Übersicht!$I$10&lt;=80),VLOOKUP(Übersicht!I11,Rohrdatenbank!$B$54:$E$70,3,FALSE),IF(AND(80&lt;Übersicht!I10,Übersicht!I10&lt;=100),VLOOKUP(Übersicht!I11,Rohrdatenbank!$B$54:$E$70,4,FALSE),"")))</f>
        <v>870</v>
      </c>
      <c r="C45" t="s">
        <v>193</v>
      </c>
      <c r="G45" s="5"/>
    </row>
    <row r="46" spans="1:7" x14ac:dyDescent="0.25">
      <c r="A46" s="4" t="s">
        <v>45</v>
      </c>
      <c r="B46" s="12">
        <f>B44^2*(PI()/4)</f>
        <v>7.5330750129937549E-2</v>
      </c>
      <c r="C46" t="s">
        <v>37</v>
      </c>
      <c r="G46" s="5"/>
    </row>
    <row r="47" spans="1:7" x14ac:dyDescent="0.25">
      <c r="A47" s="4" t="s">
        <v>188</v>
      </c>
      <c r="B47" s="23">
        <f>B46*B31*M6*3600*8760/1000</f>
        <v>320015.65981855779</v>
      </c>
      <c r="C47" t="s">
        <v>1</v>
      </c>
      <c r="G47" s="5"/>
    </row>
    <row r="48" spans="1:7" x14ac:dyDescent="0.25">
      <c r="A48" s="16" t="s">
        <v>44</v>
      </c>
      <c r="B48" s="12">
        <f>F14/B46</f>
        <v>11.249449486444268</v>
      </c>
      <c r="C48" t="s">
        <v>29</v>
      </c>
      <c r="G48" s="5"/>
    </row>
    <row r="49" spans="1:7" x14ac:dyDescent="0.25">
      <c r="A49" s="4" t="s">
        <v>189</v>
      </c>
      <c r="B49" s="12">
        <f>B47/B9</f>
        <v>1.0667188660618594</v>
      </c>
      <c r="G49" s="5"/>
    </row>
    <row r="50" spans="1:7" x14ac:dyDescent="0.25">
      <c r="A50" s="4" t="s">
        <v>58</v>
      </c>
      <c r="B50" s="26">
        <f>4*B46/(2*PI()*B40)</f>
        <v>0.14806126891015745</v>
      </c>
      <c r="C50" t="s">
        <v>39</v>
      </c>
      <c r="G50" s="5"/>
    </row>
    <row r="51" spans="1:7" x14ac:dyDescent="0.25">
      <c r="A51" s="4" t="s">
        <v>59</v>
      </c>
      <c r="B51" s="26">
        <f>B48*B50/M11</f>
        <v>2.0383425188607087</v>
      </c>
      <c r="C51" t="s">
        <v>60</v>
      </c>
      <c r="G51" s="5"/>
    </row>
    <row r="52" spans="1:7" x14ac:dyDescent="0.25">
      <c r="A52" s="4" t="s">
        <v>61</v>
      </c>
      <c r="B52" t="str">
        <f>IF(B51&lt;2320,"laminare Strömung","turbulente Strlömung")</f>
        <v>laminare Strömung</v>
      </c>
      <c r="G52" s="5"/>
    </row>
    <row r="53" spans="1:7" x14ac:dyDescent="0.25">
      <c r="A53" s="4"/>
      <c r="C53" s="2"/>
      <c r="D53" s="81"/>
      <c r="E53" s="81"/>
      <c r="G53" s="5"/>
    </row>
    <row r="54" spans="1:7" x14ac:dyDescent="0.25">
      <c r="A54" s="27" t="s">
        <v>46</v>
      </c>
      <c r="B54" s="2"/>
      <c r="D54" s="81" t="s">
        <v>54</v>
      </c>
      <c r="E54" s="80" t="s">
        <v>111</v>
      </c>
      <c r="G54" s="5"/>
    </row>
    <row r="55" spans="1:7" x14ac:dyDescent="0.25">
      <c r="A55" s="131" t="s">
        <v>47</v>
      </c>
      <c r="B55" s="9">
        <v>0.01</v>
      </c>
      <c r="C55" t="s">
        <v>223</v>
      </c>
      <c r="D55" s="81" t="s">
        <v>54</v>
      </c>
      <c r="E55" s="80" t="s">
        <v>111</v>
      </c>
      <c r="G55" s="5"/>
    </row>
    <row r="56" spans="1:7" x14ac:dyDescent="0.25">
      <c r="A56" s="131"/>
      <c r="B56" s="9">
        <v>8.0000000000000002E-3</v>
      </c>
      <c r="C56" t="s">
        <v>224</v>
      </c>
      <c r="D56" s="81"/>
      <c r="E56" s="81"/>
      <c r="G56" s="5"/>
    </row>
    <row r="57" spans="1:7" x14ac:dyDescent="0.25">
      <c r="A57" s="4" t="s">
        <v>99</v>
      </c>
      <c r="B57" s="12">
        <f>M6</f>
        <v>11.225639360298922</v>
      </c>
      <c r="C57" t="s">
        <v>50</v>
      </c>
      <c r="G57" s="5"/>
    </row>
    <row r="58" spans="1:7" x14ac:dyDescent="0.25">
      <c r="A58" s="13" t="s">
        <v>49</v>
      </c>
      <c r="B58" s="9">
        <f>Übersicht!B12</f>
        <v>6</v>
      </c>
      <c r="C58" t="s">
        <v>96</v>
      </c>
      <c r="G58" s="5"/>
    </row>
    <row r="59" spans="1:7" x14ac:dyDescent="0.25">
      <c r="A59" s="4" t="s">
        <v>48</v>
      </c>
      <c r="B59" s="26">
        <f>(MAX(B55,B56)*B58*10^3*B31^2*B57)/(2*B44)/10^5</f>
        <v>1.5658625132867725</v>
      </c>
      <c r="C59" t="s">
        <v>51</v>
      </c>
      <c r="G59" s="5"/>
    </row>
    <row r="60" spans="1:7" x14ac:dyDescent="0.25">
      <c r="A60" s="4" t="s">
        <v>117</v>
      </c>
      <c r="B60" s="12">
        <f>B59*10^5/(B58*1000)</f>
        <v>26.097708554779544</v>
      </c>
      <c r="C60" t="s">
        <v>118</v>
      </c>
      <c r="G60" s="5"/>
    </row>
    <row r="61" spans="1:7" ht="15.75" thickBot="1" x14ac:dyDescent="0.3">
      <c r="A61" s="4" t="s">
        <v>119</v>
      </c>
      <c r="B61">
        <v>100</v>
      </c>
      <c r="C61" t="s">
        <v>118</v>
      </c>
      <c r="D61" s="7"/>
      <c r="E61" s="7"/>
      <c r="F61" s="7"/>
      <c r="G61" s="8"/>
    </row>
    <row r="62" spans="1:7" ht="15.75" thickBot="1" x14ac:dyDescent="0.3">
      <c r="A62" s="6"/>
      <c r="B62" s="7"/>
    </row>
  </sheetData>
  <sheetProtection algorithmName="SHA-512" hashValue="MOasSxssMly80sMP3zoAtj5pzFFsZMh3MEoV7kqBYLt5HAUbc3qEzFlu6uls+iLz5NGTlN6wudXmolYh9xso7w==" saltValue="wJSYCxccMb/8ACxPL8RubQ==" spinCount="100000" sheet="1" selectLockedCells="1"/>
  <mergeCells count="12">
    <mergeCell ref="A55:A56"/>
    <mergeCell ref="A1:C1"/>
    <mergeCell ref="G1:I1"/>
    <mergeCell ref="L1:N1"/>
    <mergeCell ref="A8:H8"/>
    <mergeCell ref="A11:C11"/>
    <mergeCell ref="E11:G11"/>
    <mergeCell ref="A17:L17"/>
    <mergeCell ref="G18:H18"/>
    <mergeCell ref="G25:H25"/>
    <mergeCell ref="A30:G30"/>
    <mergeCell ref="A38:B38"/>
  </mergeCells>
  <conditionalFormatting sqref="B44">
    <cfRule type="cellIs" dxfId="6" priority="7" operator="greaterThan">
      <formula>$B$35</formula>
    </cfRule>
  </conditionalFormatting>
  <conditionalFormatting sqref="B48">
    <cfRule type="cellIs" dxfId="5" priority="6" operator="lessThan">
      <formula>$B$31</formula>
    </cfRule>
  </conditionalFormatting>
  <conditionalFormatting sqref="B52">
    <cfRule type="containsText" dxfId="4" priority="3" operator="containsText" text="turbulente Strömung">
      <formula>NOT(ISERROR(SEARCH("turbulente Strömung",B52)))</formula>
    </cfRule>
    <cfRule type="containsText" dxfId="3" priority="4" operator="containsText" text="laminare Strömung">
      <formula>NOT(ISERROR(SEARCH("laminare Strömung",B52)))</formula>
    </cfRule>
    <cfRule type="cellIs" dxfId="2" priority="5" operator="equal">
      <formula>"""laminare Strömung"""</formula>
    </cfRule>
  </conditionalFormatting>
  <conditionalFormatting sqref="B60">
    <cfRule type="cellIs" dxfId="1" priority="1" operator="greaterThan">
      <formula>$B$61</formula>
    </cfRule>
    <cfRule type="cellIs" dxfId="0" priority="2" operator="lessThan">
      <formula>$B$61</formula>
    </cfRule>
  </conditionalFormatting>
  <hyperlinks>
    <hyperlink ref="P10" r:id="rId1" xr:uid="{491B0863-71BF-421F-AA48-153EEE339EEB}"/>
    <hyperlink ref="P7" r:id="rId2" xr:uid="{C049CA48-BC76-4CA6-B91D-6EE9BD999DA8}"/>
    <hyperlink ref="P8" r:id="rId3" xr:uid="{5F3188A4-56E5-4C98-8D3D-1C5056D2D1EC}"/>
    <hyperlink ref="E31" r:id="rId4" xr:uid="{34D894A6-9836-4E1D-94EB-18ECED447A2E}"/>
    <hyperlink ref="E54" r:id="rId5" xr:uid="{A64AAEC3-629B-425F-BA59-1094309307A2}"/>
    <hyperlink ref="E55" r:id="rId6" xr:uid="{CC7DE920-F77C-4ECD-99C4-CD95F253513E}"/>
  </hyperlinks>
  <pageMargins left="0.7" right="0.7" top="0.78740157499999996" bottom="0.78740157499999996" header="0.3" footer="0.3"/>
  <drawing r:id="rId7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0E4B6-946E-49E6-99DC-FD0863F3E6FC}">
  <dimension ref="A1:T13"/>
  <sheetViews>
    <sheetView topLeftCell="F1" workbookViewId="0">
      <selection activeCell="G7" sqref="G7"/>
    </sheetView>
  </sheetViews>
  <sheetFormatPr baseColWidth="10" defaultRowHeight="15" x14ac:dyDescent="0.25"/>
  <cols>
    <col min="7" max="7" width="20.28515625" customWidth="1"/>
  </cols>
  <sheetData>
    <row r="1" spans="1:20" ht="15.75" thickBot="1" x14ac:dyDescent="0.3"/>
    <row r="2" spans="1:20" ht="33.6" customHeight="1" x14ac:dyDescent="0.25">
      <c r="A2" s="136" t="s">
        <v>79</v>
      </c>
      <c r="B2" s="136"/>
      <c r="F2" s="152" t="s">
        <v>80</v>
      </c>
      <c r="G2" s="152"/>
      <c r="I2" s="153" t="s">
        <v>120</v>
      </c>
      <c r="J2" s="154"/>
      <c r="K2" s="154"/>
      <c r="L2" s="154"/>
      <c r="M2" s="154"/>
      <c r="N2" s="154"/>
      <c r="O2" s="155"/>
      <c r="Q2" s="149" t="s">
        <v>136</v>
      </c>
      <c r="R2" s="150"/>
      <c r="S2" s="150"/>
      <c r="T2" s="151"/>
    </row>
    <row r="3" spans="1:20" x14ac:dyDescent="0.25">
      <c r="A3" t="s">
        <v>82</v>
      </c>
      <c r="I3" s="4" t="s">
        <v>123</v>
      </c>
      <c r="J3" t="s">
        <v>125</v>
      </c>
      <c r="K3" t="s">
        <v>121</v>
      </c>
      <c r="L3" t="s">
        <v>122</v>
      </c>
      <c r="M3" t="s">
        <v>127</v>
      </c>
      <c r="N3" t="s">
        <v>128</v>
      </c>
      <c r="O3" s="5"/>
      <c r="Q3" s="4" t="s">
        <v>123</v>
      </c>
      <c r="R3" t="s">
        <v>125</v>
      </c>
      <c r="S3" t="s">
        <v>121</v>
      </c>
      <c r="T3" s="5" t="s">
        <v>122</v>
      </c>
    </row>
    <row r="4" spans="1:20" x14ac:dyDescent="0.25">
      <c r="A4" t="s">
        <v>81</v>
      </c>
      <c r="I4" s="4" t="s">
        <v>124</v>
      </c>
      <c r="J4">
        <v>5.9</v>
      </c>
      <c r="K4">
        <v>20</v>
      </c>
      <c r="L4">
        <f>J4*10^6/(K4*10^3)</f>
        <v>295</v>
      </c>
      <c r="M4">
        <v>500</v>
      </c>
      <c r="N4">
        <v>63</v>
      </c>
      <c r="O4" s="5"/>
      <c r="Q4" s="4"/>
      <c r="T4" s="5"/>
    </row>
    <row r="5" spans="1:20" x14ac:dyDescent="0.25">
      <c r="A5" t="s">
        <v>83</v>
      </c>
      <c r="I5" s="4" t="s">
        <v>126</v>
      </c>
      <c r="J5">
        <v>9</v>
      </c>
      <c r="K5">
        <v>55</v>
      </c>
      <c r="L5">
        <f>J5*10^6/(K5*10^3)</f>
        <v>163.63636363636363</v>
      </c>
      <c r="M5">
        <v>400</v>
      </c>
      <c r="N5">
        <v>64</v>
      </c>
      <c r="O5" s="5"/>
      <c r="Q5" s="4"/>
      <c r="T5" s="5"/>
    </row>
    <row r="6" spans="1:20" x14ac:dyDescent="0.25">
      <c r="I6" s="4" t="s">
        <v>129</v>
      </c>
      <c r="J6">
        <v>3.6</v>
      </c>
      <c r="K6">
        <v>15</v>
      </c>
      <c r="L6">
        <f>J6*10^6/(K6*10^3)</f>
        <v>240</v>
      </c>
      <c r="M6">
        <v>400</v>
      </c>
      <c r="N6">
        <v>70</v>
      </c>
      <c r="O6" s="5"/>
      <c r="Q6" s="4"/>
      <c r="T6" s="5"/>
    </row>
    <row r="7" spans="1:20" x14ac:dyDescent="0.25">
      <c r="I7" s="4"/>
      <c r="O7" s="5"/>
      <c r="Q7" s="4"/>
      <c r="T7" s="5"/>
    </row>
    <row r="8" spans="1:20" x14ac:dyDescent="0.25">
      <c r="I8" s="4"/>
      <c r="O8" s="5"/>
      <c r="Q8" s="4"/>
      <c r="T8" s="5"/>
    </row>
    <row r="9" spans="1:20" x14ac:dyDescent="0.25">
      <c r="I9" s="4"/>
      <c r="O9" s="5"/>
      <c r="Q9" s="4"/>
      <c r="T9" s="5"/>
    </row>
    <row r="10" spans="1:20" x14ac:dyDescent="0.25">
      <c r="I10" s="4"/>
      <c r="O10" s="5"/>
      <c r="Q10" s="4"/>
      <c r="T10" s="5"/>
    </row>
    <row r="11" spans="1:20" x14ac:dyDescent="0.25">
      <c r="I11" s="4"/>
      <c r="O11" s="5"/>
      <c r="Q11" s="4"/>
      <c r="T11" s="5"/>
    </row>
    <row r="12" spans="1:20" x14ac:dyDescent="0.25">
      <c r="I12" s="4"/>
      <c r="O12" s="5"/>
      <c r="Q12" s="4"/>
      <c r="T12" s="5"/>
    </row>
    <row r="13" spans="1:20" ht="15.75" thickBot="1" x14ac:dyDescent="0.3">
      <c r="I13" s="6" t="s">
        <v>135</v>
      </c>
      <c r="J13" s="7">
        <v>82</v>
      </c>
      <c r="K13" s="7">
        <v>389</v>
      </c>
      <c r="L13" s="7">
        <f t="shared" ref="L13" si="0">J13*10^6/(K13*10^3)</f>
        <v>210.79691516709511</v>
      </c>
      <c r="M13" s="7"/>
      <c r="N13" s="7"/>
      <c r="O13" s="8"/>
      <c r="Q13" s="6" t="s">
        <v>135</v>
      </c>
      <c r="R13" s="7">
        <v>128</v>
      </c>
      <c r="S13" s="7">
        <v>63</v>
      </c>
      <c r="T13" s="8">
        <f>R13*10^6/(S13*10^3)</f>
        <v>2031.7460317460318</v>
      </c>
    </row>
  </sheetData>
  <sheetProtection sheet="1" objects="1" scenarios="1" selectLockedCells="1"/>
  <mergeCells count="4">
    <mergeCell ref="Q2:T2"/>
    <mergeCell ref="A2:B2"/>
    <mergeCell ref="F2:G2"/>
    <mergeCell ref="I2:O2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FE33A-9709-4485-B4AB-8A5FB79E543B}">
  <dimension ref="A1:K3"/>
  <sheetViews>
    <sheetView workbookViewId="0">
      <selection activeCell="F1" sqref="F1:F1048576"/>
    </sheetView>
  </sheetViews>
  <sheetFormatPr baseColWidth="10" defaultRowHeight="15" x14ac:dyDescent="0.25"/>
  <cols>
    <col min="6" max="6" width="0" hidden="1" customWidth="1"/>
    <col min="7" max="7" width="16.140625" bestFit="1" customWidth="1"/>
    <col min="10" max="10" width="11.85546875" bestFit="1" customWidth="1"/>
  </cols>
  <sheetData>
    <row r="1" spans="1:11" x14ac:dyDescent="0.25">
      <c r="A1" t="s">
        <v>82</v>
      </c>
      <c r="B1" t="s">
        <v>84</v>
      </c>
      <c r="D1" s="136" t="s">
        <v>85</v>
      </c>
      <c r="E1" s="136"/>
      <c r="F1" s="2" t="s">
        <v>106</v>
      </c>
      <c r="G1" t="s">
        <v>86</v>
      </c>
      <c r="J1" t="s">
        <v>132</v>
      </c>
    </row>
    <row r="2" spans="1:11" x14ac:dyDescent="0.25">
      <c r="A2" t="s">
        <v>77</v>
      </c>
      <c r="B2">
        <f>1.3*'Pipeline Auslegung'!B9</f>
        <v>390000</v>
      </c>
      <c r="C2" t="s">
        <v>98</v>
      </c>
      <c r="D2">
        <v>50</v>
      </c>
      <c r="E2" t="s">
        <v>97</v>
      </c>
      <c r="F2" s="1" t="s">
        <v>107</v>
      </c>
      <c r="G2" s="3">
        <f>B2*D2</f>
        <v>19500000</v>
      </c>
      <c r="J2" s="20">
        <f>G2/('Pipeline Auslegung'!B9*1000)</f>
        <v>6.5000000000000002E-2</v>
      </c>
      <c r="K2" t="s">
        <v>133</v>
      </c>
    </row>
    <row r="3" spans="1:11" x14ac:dyDescent="0.25">
      <c r="A3" t="s">
        <v>78</v>
      </c>
      <c r="B3" t="s">
        <v>60</v>
      </c>
      <c r="D3">
        <f>(900*10^6/(22500*10^3))</f>
        <v>40</v>
      </c>
      <c r="E3" t="s">
        <v>130</v>
      </c>
      <c r="F3" t="s">
        <v>131</v>
      </c>
      <c r="G3">
        <f>D3</f>
        <v>40</v>
      </c>
      <c r="J3" s="21">
        <f>G3/('Pipeline Auslegung'!B9*1000)</f>
        <v>1.3333333333333334E-7</v>
      </c>
      <c r="K3" t="s">
        <v>134</v>
      </c>
    </row>
  </sheetData>
  <sheetProtection sheet="1" objects="1" scenarios="1" selectLockedCells="1"/>
  <mergeCells count="1">
    <mergeCell ref="D1:E1"/>
  </mergeCells>
  <hyperlinks>
    <hyperlink ref="F2" r:id="rId1" xr:uid="{4FA2FD61-0C7A-476B-B8BA-64E4C2B061EC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B143940E1CA2E41A0E2B6E27720A43A" ma:contentTypeVersion="5" ma:contentTypeDescription="Ein neues Dokument erstellen." ma:contentTypeScope="" ma:versionID="bb278db8ec78edaf1e0fc1f96236b88f">
  <xsd:schema xmlns:xsd="http://www.w3.org/2001/XMLSchema" xmlns:xs="http://www.w3.org/2001/XMLSchema" xmlns:p="http://schemas.microsoft.com/office/2006/metadata/properties" xmlns:ns3="a9807fc2-6533-4c31-a199-943f856cc01b" xmlns:ns4="15622cea-3d39-45d6-88d9-878154d5bef7" targetNamespace="http://schemas.microsoft.com/office/2006/metadata/properties" ma:root="true" ma:fieldsID="974b4579eccca02b4918737549c468db" ns3:_="" ns4:_="">
    <xsd:import namespace="a9807fc2-6533-4c31-a199-943f856cc01b"/>
    <xsd:import namespace="15622cea-3d39-45d6-88d9-878154d5bef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807fc2-6533-4c31-a199-943f856cc0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22cea-3d39-45d6-88d9-878154d5bef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Freigabehinweis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2AD7C9C-3FCF-47F3-A087-4714805247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807fc2-6533-4c31-a199-943f856cc01b"/>
    <ds:schemaRef ds:uri="15622cea-3d39-45d6-88d9-878154d5be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C1277B-FB28-416B-9A0C-B54301736A5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AE72B0-CF47-4FAF-AB5D-ACD940D90FD3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  <ds:schemaRef ds:uri="15622cea-3d39-45d6-88d9-878154d5bef7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a9807fc2-6533-4c31-a199-943f856cc01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Übersicht</vt:lpstr>
      <vt:lpstr>Pipeline Auslegung</vt:lpstr>
      <vt:lpstr>Rohrdatenbank</vt:lpstr>
      <vt:lpstr>Pipelineoptimierung</vt:lpstr>
      <vt:lpstr>Capex</vt:lpstr>
      <vt:lpstr>Opex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Sharma, Santschit</dc:creator>
  <cp:lastModifiedBy>Sharma, Santschit</cp:lastModifiedBy>
  <dcterms:created xsi:type="dcterms:W3CDTF">2022-01-10T07:57:07Z</dcterms:created>
  <dcterms:modified xsi:type="dcterms:W3CDTF">2023-11-02T10:18:12Z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0x0101000B143940E1CA2E41A0E2B6E27720A43A</vt:lpwstr>
  </property>
</Properties>
</file>